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2120"/>
  </bookViews>
  <sheets>
    <sheet name="2024" sheetId="2" r:id="rId1"/>
    <sheet name="Лист1" sheetId="3" r:id="rId2"/>
  </sheets>
  <definedNames>
    <definedName name="_xlnm._FilterDatabase" localSheetId="0" hidden="1">'2024'!$C$8:$O$673</definedName>
    <definedName name="_xlnm.Print_Area" localSheetId="0">'2024'!$A$1:$Y$677</definedName>
  </definedNames>
  <calcPr calcId="145621"/>
</workbook>
</file>

<file path=xl/calcChain.xml><?xml version="1.0" encoding="utf-8"?>
<calcChain xmlns="http://schemas.openxmlformats.org/spreadsheetml/2006/main">
  <c r="Y148" i="2" l="1"/>
  <c r="Y149" i="2"/>
  <c r="Y147" i="2" l="1"/>
  <c r="Y183" i="2" l="1"/>
  <c r="Y629" i="2" l="1"/>
  <c r="Y156" i="2"/>
  <c r="Y254" i="2" l="1"/>
  <c r="Y298" i="2" l="1"/>
  <c r="Y296" i="2" l="1"/>
  <c r="Y239" i="2"/>
  <c r="Y204" i="2"/>
  <c r="Y447" i="2" l="1"/>
  <c r="Y319" i="2" l="1"/>
  <c r="Y316" i="2"/>
  <c r="Y17" i="2"/>
  <c r="Y666" i="2" l="1"/>
  <c r="Y626" i="2" l="1"/>
  <c r="Y580" i="2" l="1"/>
  <c r="Y491" i="2"/>
  <c r="Y435" i="2"/>
  <c r="Y644" i="2" l="1"/>
  <c r="Y606" i="2"/>
  <c r="Y587" i="2"/>
  <c r="Y586" i="2" s="1"/>
  <c r="Y564" i="2"/>
  <c r="Y472" i="2"/>
  <c r="Y261" i="2"/>
  <c r="Y151" i="2"/>
  <c r="Y150" i="2" s="1"/>
  <c r="Y220" i="2" l="1"/>
  <c r="Y259" i="2" l="1"/>
  <c r="Y258" i="2" s="1"/>
  <c r="Y233" i="2" l="1"/>
  <c r="Y46" i="2"/>
  <c r="N32" i="3" l="1"/>
  <c r="M32" i="3"/>
  <c r="L32" i="3"/>
  <c r="O32" i="3" s="1"/>
  <c r="K32" i="3"/>
  <c r="J32" i="3"/>
  <c r="I32" i="3"/>
  <c r="F14" i="3"/>
  <c r="D14" i="3"/>
  <c r="C14" i="3"/>
  <c r="I682" i="2"/>
  <c r="K676" i="2"/>
  <c r="N673" i="2"/>
  <c r="M673" i="2"/>
  <c r="L673" i="2"/>
  <c r="O672" i="2"/>
  <c r="O671" i="2" s="1"/>
  <c r="O670" i="2" s="1"/>
  <c r="Y671" i="2"/>
  <c r="Y670" i="2" s="1"/>
  <c r="Y669" i="2" s="1"/>
  <c r="Y668" i="2" s="1"/>
  <c r="X671" i="2"/>
  <c r="X670" i="2" s="1"/>
  <c r="X669" i="2" s="1"/>
  <c r="X668" i="2" s="1"/>
  <c r="W671" i="2"/>
  <c r="W670" i="2" s="1"/>
  <c r="W669" i="2" s="1"/>
  <c r="W668" i="2" s="1"/>
  <c r="V671" i="2"/>
  <c r="V670" i="2" s="1"/>
  <c r="V669" i="2" s="1"/>
  <c r="U671" i="2"/>
  <c r="U670" i="2" s="1"/>
  <c r="U669" i="2" s="1"/>
  <c r="U668" i="2" s="1"/>
  <c r="T671" i="2"/>
  <c r="T670" i="2" s="1"/>
  <c r="T669" i="2" s="1"/>
  <c r="T668" i="2" s="1"/>
  <c r="S671" i="2"/>
  <c r="S670" i="2" s="1"/>
  <c r="S669" i="2" s="1"/>
  <c r="S668" i="2" s="1"/>
  <c r="R671" i="2"/>
  <c r="R670" i="2" s="1"/>
  <c r="R669" i="2" s="1"/>
  <c r="R668" i="2" s="1"/>
  <c r="Q671" i="2"/>
  <c r="Q670" i="2" s="1"/>
  <c r="Q669" i="2" s="1"/>
  <c r="Q668" i="2" s="1"/>
  <c r="P671" i="2"/>
  <c r="P670" i="2" s="1"/>
  <c r="P669" i="2" s="1"/>
  <c r="P668" i="2" s="1"/>
  <c r="K671" i="2"/>
  <c r="K670" i="2" s="1"/>
  <c r="K669" i="2" s="1"/>
  <c r="K668" i="2" s="1"/>
  <c r="J671" i="2"/>
  <c r="I671" i="2"/>
  <c r="I670" i="2" s="1"/>
  <c r="I669" i="2" s="1"/>
  <c r="I668" i="2" s="1"/>
  <c r="H671" i="2"/>
  <c r="H670" i="2" s="1"/>
  <c r="H669" i="2" s="1"/>
  <c r="H668" i="2" s="1"/>
  <c r="J670" i="2"/>
  <c r="J669" i="2" s="1"/>
  <c r="J668" i="2" s="1"/>
  <c r="O669" i="2"/>
  <c r="O668" i="2" s="1"/>
  <c r="V668" i="2"/>
  <c r="Y664" i="2"/>
  <c r="Y663" i="2" s="1"/>
  <c r="Y662" i="2" s="1"/>
  <c r="Y661" i="2" s="1"/>
  <c r="T661" i="2"/>
  <c r="S661" i="2"/>
  <c r="R661" i="2"/>
  <c r="Q661" i="2"/>
  <c r="P661" i="2"/>
  <c r="O661" i="2"/>
  <c r="N661" i="2"/>
  <c r="M661" i="2"/>
  <c r="L661" i="2"/>
  <c r="K661" i="2"/>
  <c r="J661" i="2"/>
  <c r="Y659" i="2"/>
  <c r="X659" i="2"/>
  <c r="W659" i="2"/>
  <c r="V659" i="2"/>
  <c r="U659" i="2"/>
  <c r="T659" i="2"/>
  <c r="S659" i="2"/>
  <c r="R659" i="2"/>
  <c r="Q659" i="2"/>
  <c r="P659" i="2"/>
  <c r="O659" i="2"/>
  <c r="K659" i="2"/>
  <c r="J659" i="2"/>
  <c r="I659" i="2"/>
  <c r="H659" i="2"/>
  <c r="Y657" i="2"/>
  <c r="X657" i="2"/>
  <c r="W657" i="2"/>
  <c r="V657" i="2"/>
  <c r="U657" i="2"/>
  <c r="T657" i="2"/>
  <c r="S657" i="2"/>
  <c r="R657" i="2"/>
  <c r="Q657" i="2"/>
  <c r="P657" i="2"/>
  <c r="O657" i="2"/>
  <c r="K657" i="2"/>
  <c r="J657" i="2"/>
  <c r="I657" i="2"/>
  <c r="H657" i="2"/>
  <c r="O655" i="2"/>
  <c r="X653" i="2"/>
  <c r="X652" i="2" s="1"/>
  <c r="W653" i="2"/>
  <c r="W652" i="2" s="1"/>
  <c r="V653" i="2"/>
  <c r="V652" i="2" s="1"/>
  <c r="U653" i="2"/>
  <c r="U652" i="2" s="1"/>
  <c r="T653" i="2"/>
  <c r="T652" i="2" s="1"/>
  <c r="S653" i="2"/>
  <c r="S652" i="2" s="1"/>
  <c r="R653" i="2"/>
  <c r="R652" i="2" s="1"/>
  <c r="Q653" i="2"/>
  <c r="Q652" i="2" s="1"/>
  <c r="P653" i="2"/>
  <c r="P652" i="2" s="1"/>
  <c r="O653" i="2"/>
  <c r="O652" i="2" s="1"/>
  <c r="K653" i="2"/>
  <c r="K652" i="2" s="1"/>
  <c r="J653" i="2"/>
  <c r="J652" i="2" s="1"/>
  <c r="I653" i="2"/>
  <c r="I652" i="2" s="1"/>
  <c r="H653" i="2"/>
  <c r="H652" i="2" s="1"/>
  <c r="O649" i="2"/>
  <c r="Y648" i="2"/>
  <c r="S648" i="2"/>
  <c r="R648" i="2"/>
  <c r="Q648" i="2"/>
  <c r="P648" i="2"/>
  <c r="K648" i="2"/>
  <c r="Y646" i="2"/>
  <c r="X646" i="2"/>
  <c r="X643" i="2" s="1"/>
  <c r="X642" i="2" s="1"/>
  <c r="W646" i="2"/>
  <c r="W643" i="2" s="1"/>
  <c r="W642" i="2" s="1"/>
  <c r="V646" i="2"/>
  <c r="V643" i="2" s="1"/>
  <c r="V642" i="2" s="1"/>
  <c r="U646" i="2"/>
  <c r="U643" i="2" s="1"/>
  <c r="U642" i="2" s="1"/>
  <c r="T646" i="2"/>
  <c r="S646" i="2"/>
  <c r="R646" i="2"/>
  <c r="Q646" i="2"/>
  <c r="P646" i="2"/>
  <c r="O646" i="2"/>
  <c r="K646" i="2"/>
  <c r="J646" i="2"/>
  <c r="J643" i="2" s="1"/>
  <c r="J642" i="2" s="1"/>
  <c r="I646" i="2"/>
  <c r="I643" i="2" s="1"/>
  <c r="I642" i="2" s="1"/>
  <c r="H646" i="2"/>
  <c r="H643" i="2" s="1"/>
  <c r="H642" i="2" s="1"/>
  <c r="Y640" i="2"/>
  <c r="Y639" i="2" s="1"/>
  <c r="Y638" i="2" s="1"/>
  <c r="X640" i="2"/>
  <c r="X639" i="2" s="1"/>
  <c r="X638" i="2" s="1"/>
  <c r="W640" i="2"/>
  <c r="W639" i="2" s="1"/>
  <c r="W638" i="2" s="1"/>
  <c r="V640" i="2"/>
  <c r="V639" i="2" s="1"/>
  <c r="V638" i="2" s="1"/>
  <c r="U640" i="2"/>
  <c r="U639" i="2" s="1"/>
  <c r="U638" i="2" s="1"/>
  <c r="T640" i="2"/>
  <c r="T639" i="2" s="1"/>
  <c r="S640" i="2"/>
  <c r="S639" i="2" s="1"/>
  <c r="S638" i="2" s="1"/>
  <c r="R640" i="2"/>
  <c r="R639" i="2" s="1"/>
  <c r="R638" i="2" s="1"/>
  <c r="Q640" i="2"/>
  <c r="Q639" i="2" s="1"/>
  <c r="Q638" i="2" s="1"/>
  <c r="P640" i="2"/>
  <c r="P639" i="2" s="1"/>
  <c r="P638" i="2" s="1"/>
  <c r="O640" i="2"/>
  <c r="O639" i="2" s="1"/>
  <c r="O638" i="2" s="1"/>
  <c r="K640" i="2"/>
  <c r="K639" i="2" s="1"/>
  <c r="K638" i="2" s="1"/>
  <c r="J640" i="2"/>
  <c r="J639" i="2" s="1"/>
  <c r="J638" i="2" s="1"/>
  <c r="I640" i="2"/>
  <c r="I639" i="2" s="1"/>
  <c r="I638" i="2" s="1"/>
  <c r="H640" i="2"/>
  <c r="H639" i="2" s="1"/>
  <c r="H638" i="2" s="1"/>
  <c r="X637" i="2"/>
  <c r="O637" i="2"/>
  <c r="Y636" i="2"/>
  <c r="X636" i="2"/>
  <c r="W636" i="2"/>
  <c r="V636" i="2"/>
  <c r="U636" i="2"/>
  <c r="T636" i="2"/>
  <c r="S636" i="2"/>
  <c r="S633" i="2" s="1"/>
  <c r="S632" i="2" s="1"/>
  <c r="R636" i="2"/>
  <c r="R633" i="2" s="1"/>
  <c r="R632" i="2" s="1"/>
  <c r="Q636" i="2"/>
  <c r="Q633" i="2" s="1"/>
  <c r="Q632" i="2" s="1"/>
  <c r="P636" i="2"/>
  <c r="P633" i="2" s="1"/>
  <c r="P632" i="2" s="1"/>
  <c r="O636" i="2"/>
  <c r="O633" i="2" s="1"/>
  <c r="O632" i="2" s="1"/>
  <c r="K636" i="2"/>
  <c r="K633" i="2" s="1"/>
  <c r="K632" i="2" s="1"/>
  <c r="J636" i="2"/>
  <c r="J633" i="2" s="1"/>
  <c r="J632" i="2" s="1"/>
  <c r="I636" i="2"/>
  <c r="I633" i="2" s="1"/>
  <c r="I632" i="2" s="1"/>
  <c r="H636" i="2"/>
  <c r="H633" i="2" s="1"/>
  <c r="H632" i="2" s="1"/>
  <c r="Y634" i="2"/>
  <c r="X634" i="2"/>
  <c r="W634" i="2"/>
  <c r="V634" i="2"/>
  <c r="U634" i="2"/>
  <c r="T634" i="2"/>
  <c r="Y628" i="2"/>
  <c r="Y627" i="2" s="1"/>
  <c r="Y625" i="2"/>
  <c r="X625" i="2"/>
  <c r="W625" i="2"/>
  <c r="V625" i="2"/>
  <c r="U625" i="2"/>
  <c r="T625" i="2"/>
  <c r="Y623" i="2"/>
  <c r="X623" i="2"/>
  <c r="W623" i="2"/>
  <c r="V623" i="2"/>
  <c r="U623" i="2"/>
  <c r="T623" i="2"/>
  <c r="S623" i="2"/>
  <c r="S622" i="2" s="1"/>
  <c r="R623" i="2"/>
  <c r="R622" i="2" s="1"/>
  <c r="Q623" i="2"/>
  <c r="Q622" i="2" s="1"/>
  <c r="P623" i="2"/>
  <c r="P622" i="2" s="1"/>
  <c r="O623" i="2"/>
  <c r="O622" i="2" s="1"/>
  <c r="K623" i="2"/>
  <c r="K622" i="2" s="1"/>
  <c r="K617" i="2" s="1"/>
  <c r="J623" i="2"/>
  <c r="J622" i="2" s="1"/>
  <c r="I623" i="2"/>
  <c r="I622" i="2" s="1"/>
  <c r="H623" i="2"/>
  <c r="H622" i="2" s="1"/>
  <c r="H617" i="2" s="1"/>
  <c r="Y620" i="2"/>
  <c r="Y619" i="2" s="1"/>
  <c r="Y618" i="2" s="1"/>
  <c r="X620" i="2"/>
  <c r="X619" i="2" s="1"/>
  <c r="X618" i="2" s="1"/>
  <c r="W620" i="2"/>
  <c r="W619" i="2" s="1"/>
  <c r="W618" i="2" s="1"/>
  <c r="V620" i="2"/>
  <c r="V619" i="2" s="1"/>
  <c r="V618" i="2" s="1"/>
  <c r="U620" i="2"/>
  <c r="U619" i="2" s="1"/>
  <c r="U618" i="2" s="1"/>
  <c r="T620" i="2"/>
  <c r="T619" i="2" s="1"/>
  <c r="T618" i="2" s="1"/>
  <c r="S620" i="2"/>
  <c r="S619" i="2" s="1"/>
  <c r="S618" i="2" s="1"/>
  <c r="R620" i="2"/>
  <c r="R619" i="2" s="1"/>
  <c r="R618" i="2" s="1"/>
  <c r="Q620" i="2"/>
  <c r="Q619" i="2" s="1"/>
  <c r="Q618" i="2" s="1"/>
  <c r="P620" i="2"/>
  <c r="P619" i="2" s="1"/>
  <c r="P618" i="2" s="1"/>
  <c r="O620" i="2"/>
  <c r="O619" i="2" s="1"/>
  <c r="O618" i="2" s="1"/>
  <c r="K619" i="2"/>
  <c r="J619" i="2"/>
  <c r="I619" i="2"/>
  <c r="H619" i="2"/>
  <c r="K618" i="2"/>
  <c r="J618" i="2"/>
  <c r="I618" i="2"/>
  <c r="H618" i="2"/>
  <c r="Y615" i="2"/>
  <c r="Y614" i="2" s="1"/>
  <c r="Y613" i="2" s="1"/>
  <c r="X615" i="2"/>
  <c r="X614" i="2" s="1"/>
  <c r="X613" i="2" s="1"/>
  <c r="W615" i="2"/>
  <c r="W614" i="2" s="1"/>
  <c r="W613" i="2" s="1"/>
  <c r="V615" i="2"/>
  <c r="V614" i="2" s="1"/>
  <c r="V613" i="2" s="1"/>
  <c r="U615" i="2"/>
  <c r="U614" i="2" s="1"/>
  <c r="U613" i="2" s="1"/>
  <c r="T615" i="2"/>
  <c r="T614" i="2" s="1"/>
  <c r="T613" i="2" s="1"/>
  <c r="S615" i="2"/>
  <c r="S614" i="2" s="1"/>
  <c r="S613" i="2" s="1"/>
  <c r="R615" i="2"/>
  <c r="R614" i="2" s="1"/>
  <c r="R613" i="2" s="1"/>
  <c r="Q615" i="2"/>
  <c r="Q614" i="2" s="1"/>
  <c r="Q613" i="2" s="1"/>
  <c r="P615" i="2"/>
  <c r="P614" i="2" s="1"/>
  <c r="P613" i="2" s="1"/>
  <c r="O615" i="2"/>
  <c r="O614" i="2" s="1"/>
  <c r="O613" i="2" s="1"/>
  <c r="K615" i="2"/>
  <c r="K614" i="2" s="1"/>
  <c r="K613" i="2" s="1"/>
  <c r="J615" i="2"/>
  <c r="J614" i="2" s="1"/>
  <c r="J613" i="2" s="1"/>
  <c r="I615" i="2"/>
  <c r="I614" i="2" s="1"/>
  <c r="I613" i="2" s="1"/>
  <c r="H615" i="2"/>
  <c r="H614" i="2" s="1"/>
  <c r="H613" i="2" s="1"/>
  <c r="O611" i="2"/>
  <c r="X610" i="2"/>
  <c r="W610" i="2"/>
  <c r="V610" i="2"/>
  <c r="U610" i="2"/>
  <c r="S610" i="2"/>
  <c r="R610" i="2"/>
  <c r="Q610" i="2"/>
  <c r="P610" i="2"/>
  <c r="K610" i="2"/>
  <c r="J610" i="2"/>
  <c r="Y608" i="2"/>
  <c r="X608" i="2"/>
  <c r="W608" i="2"/>
  <c r="V608" i="2"/>
  <c r="U608" i="2"/>
  <c r="T608" i="2"/>
  <c r="S608" i="2"/>
  <c r="R608" i="2"/>
  <c r="Q608" i="2"/>
  <c r="P608" i="2"/>
  <c r="O608" i="2"/>
  <c r="K608" i="2"/>
  <c r="J608" i="2"/>
  <c r="J605" i="2" s="1"/>
  <c r="J604" i="2" s="1"/>
  <c r="I608" i="2"/>
  <c r="I605" i="2" s="1"/>
  <c r="I604" i="2" s="1"/>
  <c r="H608" i="2"/>
  <c r="H605" i="2" s="1"/>
  <c r="H604" i="2" s="1"/>
  <c r="Y603" i="2"/>
  <c r="Y602" i="2" s="1"/>
  <c r="Y601" i="2" s="1"/>
  <c r="Y600" i="2" s="1"/>
  <c r="Y599" i="2" s="1"/>
  <c r="X602" i="2"/>
  <c r="X601" i="2" s="1"/>
  <c r="X600" i="2" s="1"/>
  <c r="X599" i="2" s="1"/>
  <c r="W602" i="2"/>
  <c r="W601" i="2" s="1"/>
  <c r="W600" i="2" s="1"/>
  <c r="W599" i="2" s="1"/>
  <c r="V602" i="2"/>
  <c r="V601" i="2" s="1"/>
  <c r="V600" i="2" s="1"/>
  <c r="V599" i="2" s="1"/>
  <c r="U602" i="2"/>
  <c r="U601" i="2" s="1"/>
  <c r="U600" i="2" s="1"/>
  <c r="U599" i="2" s="1"/>
  <c r="T602" i="2"/>
  <c r="T601" i="2" s="1"/>
  <c r="T600" i="2" s="1"/>
  <c r="T599" i="2" s="1"/>
  <c r="S602" i="2"/>
  <c r="S601" i="2" s="1"/>
  <c r="S600" i="2" s="1"/>
  <c r="S599" i="2" s="1"/>
  <c r="R602" i="2"/>
  <c r="R601" i="2" s="1"/>
  <c r="R600" i="2" s="1"/>
  <c r="R599" i="2" s="1"/>
  <c r="Q602" i="2"/>
  <c r="Q601" i="2" s="1"/>
  <c r="Q600" i="2" s="1"/>
  <c r="Q599" i="2" s="1"/>
  <c r="P602" i="2"/>
  <c r="P601" i="2" s="1"/>
  <c r="P600" i="2" s="1"/>
  <c r="P599" i="2" s="1"/>
  <c r="O602" i="2"/>
  <c r="O601" i="2" s="1"/>
  <c r="O600" i="2" s="1"/>
  <c r="O599" i="2" s="1"/>
  <c r="K602" i="2"/>
  <c r="K601" i="2" s="1"/>
  <c r="K600" i="2" s="1"/>
  <c r="K599" i="2" s="1"/>
  <c r="J602" i="2"/>
  <c r="J601" i="2" s="1"/>
  <c r="J600" i="2" s="1"/>
  <c r="J599" i="2" s="1"/>
  <c r="I602" i="2"/>
  <c r="I601" i="2" s="1"/>
  <c r="I600" i="2" s="1"/>
  <c r="I599" i="2" s="1"/>
  <c r="H602" i="2"/>
  <c r="H601" i="2" s="1"/>
  <c r="H600" i="2" s="1"/>
  <c r="H599" i="2" s="1"/>
  <c r="T597" i="2"/>
  <c r="T596" i="2" s="1"/>
  <c r="Y596" i="2"/>
  <c r="S596" i="2"/>
  <c r="S589" i="2" s="1"/>
  <c r="S585" i="2" s="1"/>
  <c r="R596" i="2"/>
  <c r="R589" i="2" s="1"/>
  <c r="R585" i="2" s="1"/>
  <c r="Q596" i="2"/>
  <c r="Q589" i="2" s="1"/>
  <c r="Q585" i="2" s="1"/>
  <c r="P596" i="2"/>
  <c r="O596" i="2"/>
  <c r="O589" i="2" s="1"/>
  <c r="O585" i="2" s="1"/>
  <c r="K596" i="2"/>
  <c r="K589" i="2" s="1"/>
  <c r="K585" i="2" s="1"/>
  <c r="Y595" i="2"/>
  <c r="Y594" i="2" s="1"/>
  <c r="X594" i="2"/>
  <c r="W594" i="2"/>
  <c r="V594" i="2"/>
  <c r="U594" i="2"/>
  <c r="T594" i="2"/>
  <c r="S594" i="2"/>
  <c r="R594" i="2"/>
  <c r="Q594" i="2"/>
  <c r="P594" i="2"/>
  <c r="O594" i="2"/>
  <c r="K594" i="2"/>
  <c r="J594" i="2"/>
  <c r="I594" i="2"/>
  <c r="H594" i="2"/>
  <c r="Y593" i="2"/>
  <c r="Y592" i="2" s="1"/>
  <c r="X592" i="2"/>
  <c r="W592" i="2"/>
  <c r="V592" i="2"/>
  <c r="U592" i="2"/>
  <c r="T592" i="2"/>
  <c r="P592" i="2"/>
  <c r="Y591" i="2"/>
  <c r="X590" i="2"/>
  <c r="Y590" i="2" s="1"/>
  <c r="J589" i="2"/>
  <c r="J585" i="2" s="1"/>
  <c r="I589" i="2"/>
  <c r="H589" i="2"/>
  <c r="I585" i="2"/>
  <c r="H585" i="2"/>
  <c r="X584" i="2"/>
  <c r="Y583" i="2"/>
  <c r="Y581" i="2" s="1"/>
  <c r="X583" i="2"/>
  <c r="X582" i="2" s="1"/>
  <c r="T580" i="2"/>
  <c r="T579" i="2" s="1"/>
  <c r="T578" i="2" s="1"/>
  <c r="Y579" i="2"/>
  <c r="Y578" i="2" s="1"/>
  <c r="X579" i="2"/>
  <c r="X578" i="2" s="1"/>
  <c r="W579" i="2"/>
  <c r="V579" i="2"/>
  <c r="U579" i="2"/>
  <c r="U578" i="2" s="1"/>
  <c r="S579" i="2"/>
  <c r="S578" i="2" s="1"/>
  <c r="R579" i="2"/>
  <c r="R578" i="2" s="1"/>
  <c r="Q579" i="2"/>
  <c r="Q578" i="2" s="1"/>
  <c r="P579" i="2"/>
  <c r="P578" i="2" s="1"/>
  <c r="O579" i="2"/>
  <c r="O578" i="2" s="1"/>
  <c r="W578" i="2"/>
  <c r="V578" i="2"/>
  <c r="O577" i="2"/>
  <c r="O576" i="2" s="1"/>
  <c r="O575" i="2" s="1"/>
  <c r="O574" i="2" s="1"/>
  <c r="X576" i="2"/>
  <c r="X575" i="2" s="1"/>
  <c r="X574" i="2" s="1"/>
  <c r="W576" i="2"/>
  <c r="W575" i="2" s="1"/>
  <c r="W574" i="2" s="1"/>
  <c r="V576" i="2"/>
  <c r="V575" i="2" s="1"/>
  <c r="V574" i="2" s="1"/>
  <c r="V569" i="2" s="1"/>
  <c r="U576" i="2"/>
  <c r="U575" i="2" s="1"/>
  <c r="U574" i="2" s="1"/>
  <c r="S576" i="2"/>
  <c r="S575" i="2" s="1"/>
  <c r="S574" i="2" s="1"/>
  <c r="R576" i="2"/>
  <c r="R575" i="2" s="1"/>
  <c r="R574" i="2" s="1"/>
  <c r="Q576" i="2"/>
  <c r="Q575" i="2" s="1"/>
  <c r="Q574" i="2" s="1"/>
  <c r="P576" i="2"/>
  <c r="P575" i="2" s="1"/>
  <c r="P574" i="2" s="1"/>
  <c r="K576" i="2"/>
  <c r="K575" i="2" s="1"/>
  <c r="K574" i="2" s="1"/>
  <c r="J576" i="2"/>
  <c r="J575" i="2" s="1"/>
  <c r="J574" i="2" s="1"/>
  <c r="T573" i="2"/>
  <c r="X572" i="2"/>
  <c r="X570" i="2" s="1"/>
  <c r="S572" i="2"/>
  <c r="S570" i="2" s="1"/>
  <c r="R572" i="2"/>
  <c r="R570" i="2" s="1"/>
  <c r="Q572" i="2"/>
  <c r="Q570" i="2" s="1"/>
  <c r="P572" i="2"/>
  <c r="P570" i="2" s="1"/>
  <c r="O572" i="2"/>
  <c r="O570" i="2" s="1"/>
  <c r="Y568" i="2"/>
  <c r="Y567" i="2" s="1"/>
  <c r="X568" i="2"/>
  <c r="X567" i="2"/>
  <c r="W567" i="2"/>
  <c r="V567" i="2"/>
  <c r="U567" i="2"/>
  <c r="T567" i="2"/>
  <c r="X564" i="2"/>
  <c r="W564" i="2"/>
  <c r="V564" i="2"/>
  <c r="U564" i="2"/>
  <c r="T564" i="2"/>
  <c r="Y563" i="2"/>
  <c r="Y562" i="2" s="1"/>
  <c r="X562" i="2"/>
  <c r="W562" i="2"/>
  <c r="V562" i="2"/>
  <c r="U562" i="2"/>
  <c r="T562" i="2"/>
  <c r="Y561" i="2"/>
  <c r="Y560" i="2" s="1"/>
  <c r="X560" i="2"/>
  <c r="W560" i="2"/>
  <c r="V560" i="2"/>
  <c r="U560" i="2"/>
  <c r="T560" i="2"/>
  <c r="Y557" i="2"/>
  <c r="Y556" i="2" s="1"/>
  <c r="Y555" i="2" s="1"/>
  <c r="Y554" i="2" s="1"/>
  <c r="X555" i="2"/>
  <c r="X554" i="2" s="1"/>
  <c r="W555" i="2"/>
  <c r="W554" i="2" s="1"/>
  <c r="V555" i="2"/>
  <c r="V554" i="2" s="1"/>
  <c r="U555" i="2"/>
  <c r="U554" i="2" s="1"/>
  <c r="T555" i="2"/>
  <c r="T554" i="2" s="1"/>
  <c r="S555" i="2"/>
  <c r="S554" i="2" s="1"/>
  <c r="S553" i="2" s="1"/>
  <c r="R555" i="2"/>
  <c r="R554" i="2" s="1"/>
  <c r="R553" i="2" s="1"/>
  <c r="Q555" i="2"/>
  <c r="Q554" i="2" s="1"/>
  <c r="Q553" i="2" s="1"/>
  <c r="P555" i="2"/>
  <c r="P554" i="2" s="1"/>
  <c r="P553" i="2" s="1"/>
  <c r="O555" i="2"/>
  <c r="O554" i="2" s="1"/>
  <c r="O553" i="2" s="1"/>
  <c r="K555" i="2"/>
  <c r="K554" i="2" s="1"/>
  <c r="K553" i="2" s="1"/>
  <c r="J555" i="2"/>
  <c r="J554" i="2" s="1"/>
  <c r="J553" i="2" s="1"/>
  <c r="I555" i="2"/>
  <c r="I554" i="2" s="1"/>
  <c r="I553" i="2" s="1"/>
  <c r="H555" i="2"/>
  <c r="H554" i="2" s="1"/>
  <c r="H553" i="2" s="1"/>
  <c r="Y551" i="2"/>
  <c r="Y550" i="2" s="1"/>
  <c r="X550" i="2"/>
  <c r="W550" i="2"/>
  <c r="V550" i="2"/>
  <c r="V548" i="2" s="1"/>
  <c r="V546" i="2" s="1"/>
  <c r="U550" i="2"/>
  <c r="T550" i="2"/>
  <c r="T548" i="2" s="1"/>
  <c r="T546" i="2" s="1"/>
  <c r="T549" i="2"/>
  <c r="J549" i="2"/>
  <c r="J548" i="2" s="1"/>
  <c r="J546" i="2" s="1"/>
  <c r="H549" i="2"/>
  <c r="H548" i="2" s="1"/>
  <c r="H546" i="2" s="1"/>
  <c r="X548" i="2"/>
  <c r="X546" i="2" s="1"/>
  <c r="W548" i="2"/>
  <c r="W546" i="2" s="1"/>
  <c r="U548" i="2"/>
  <c r="U546" i="2" s="1"/>
  <c r="S548" i="2"/>
  <c r="S546" i="2" s="1"/>
  <c r="R548" i="2"/>
  <c r="R546" i="2" s="1"/>
  <c r="Q548" i="2"/>
  <c r="Q546" i="2" s="1"/>
  <c r="P548" i="2"/>
  <c r="P546" i="2" s="1"/>
  <c r="O548" i="2"/>
  <c r="O546" i="2" s="1"/>
  <c r="K548" i="2"/>
  <c r="K546" i="2" s="1"/>
  <c r="I548" i="2"/>
  <c r="I546" i="2" s="1"/>
  <c r="Y544" i="2"/>
  <c r="Y543" i="2" s="1"/>
  <c r="Y542" i="2" s="1"/>
  <c r="O545" i="2"/>
  <c r="X544" i="2"/>
  <c r="X543" i="2" s="1"/>
  <c r="X542" i="2" s="1"/>
  <c r="W544" i="2"/>
  <c r="W543" i="2" s="1"/>
  <c r="W542" i="2" s="1"/>
  <c r="V544" i="2"/>
  <c r="V543" i="2" s="1"/>
  <c r="V542" i="2" s="1"/>
  <c r="U544" i="2"/>
  <c r="U543" i="2" s="1"/>
  <c r="U542" i="2" s="1"/>
  <c r="T544" i="2"/>
  <c r="T543" i="2" s="1"/>
  <c r="T542" i="2" s="1"/>
  <c r="S544" i="2"/>
  <c r="S543" i="2" s="1"/>
  <c r="S542" i="2" s="1"/>
  <c r="R544" i="2"/>
  <c r="R543" i="2" s="1"/>
  <c r="R542" i="2" s="1"/>
  <c r="Q544" i="2"/>
  <c r="Q543" i="2" s="1"/>
  <c r="Q542" i="2" s="1"/>
  <c r="P544" i="2"/>
  <c r="P543" i="2" s="1"/>
  <c r="P542" i="2" s="1"/>
  <c r="O544" i="2"/>
  <c r="O543" i="2" s="1"/>
  <c r="O542" i="2" s="1"/>
  <c r="K544" i="2"/>
  <c r="K543" i="2" s="1"/>
  <c r="K542" i="2" s="1"/>
  <c r="J544" i="2"/>
  <c r="J543" i="2" s="1"/>
  <c r="J542" i="2" s="1"/>
  <c r="I544" i="2"/>
  <c r="I543" i="2" s="1"/>
  <c r="I542" i="2" s="1"/>
  <c r="H544" i="2"/>
  <c r="H543" i="2" s="1"/>
  <c r="H542" i="2" s="1"/>
  <c r="Y541" i="2"/>
  <c r="Y540" i="2" s="1"/>
  <c r="Y539" i="2" s="1"/>
  <c r="X540" i="2"/>
  <c r="X539" i="2" s="1"/>
  <c r="W540" i="2"/>
  <c r="W539" i="2" s="1"/>
  <c r="V540" i="2"/>
  <c r="V539" i="2" s="1"/>
  <c r="U540" i="2"/>
  <c r="U539" i="2" s="1"/>
  <c r="T540" i="2"/>
  <c r="T539" i="2" s="1"/>
  <c r="Y537" i="2"/>
  <c r="X537" i="2"/>
  <c r="W537" i="2"/>
  <c r="V537" i="2"/>
  <c r="U537" i="2"/>
  <c r="T537" i="2"/>
  <c r="S537" i="2"/>
  <c r="R537" i="2"/>
  <c r="Q537" i="2"/>
  <c r="P537" i="2"/>
  <c r="O537" i="2"/>
  <c r="K537" i="2"/>
  <c r="J537" i="2"/>
  <c r="I537" i="2"/>
  <c r="H537" i="2"/>
  <c r="Y535" i="2"/>
  <c r="X535" i="2"/>
  <c r="W535" i="2"/>
  <c r="V535" i="2"/>
  <c r="U535" i="2"/>
  <c r="T535" i="2"/>
  <c r="S535" i="2"/>
  <c r="R535" i="2"/>
  <c r="Q535" i="2"/>
  <c r="P535" i="2"/>
  <c r="O535" i="2"/>
  <c r="K535" i="2"/>
  <c r="J535" i="2"/>
  <c r="I535" i="2"/>
  <c r="I534" i="2" s="1"/>
  <c r="H535" i="2"/>
  <c r="Y532" i="2"/>
  <c r="Y531" i="2" s="1"/>
  <c r="Y530" i="2" s="1"/>
  <c r="Y529" i="2" s="1"/>
  <c r="O532" i="2"/>
  <c r="O531" i="2" s="1"/>
  <c r="O529" i="2" s="1"/>
  <c r="X531" i="2"/>
  <c r="X530" i="2" s="1"/>
  <c r="X529" i="2" s="1"/>
  <c r="W531" i="2"/>
  <c r="W530" i="2" s="1"/>
  <c r="W529" i="2" s="1"/>
  <c r="V531" i="2"/>
  <c r="V530" i="2" s="1"/>
  <c r="V529" i="2" s="1"/>
  <c r="U531" i="2"/>
  <c r="U530" i="2" s="1"/>
  <c r="U529" i="2" s="1"/>
  <c r="T531" i="2"/>
  <c r="T530" i="2" s="1"/>
  <c r="T529" i="2" s="1"/>
  <c r="S531" i="2"/>
  <c r="S529" i="2" s="1"/>
  <c r="R531" i="2"/>
  <c r="R529" i="2" s="1"/>
  <c r="Q531" i="2"/>
  <c r="Q529" i="2" s="1"/>
  <c r="P531" i="2"/>
  <c r="P529" i="2" s="1"/>
  <c r="K531" i="2"/>
  <c r="K529" i="2" s="1"/>
  <c r="J531" i="2"/>
  <c r="J529" i="2" s="1"/>
  <c r="I531" i="2"/>
  <c r="I529" i="2" s="1"/>
  <c r="H531" i="2"/>
  <c r="H529" i="2" s="1"/>
  <c r="O528" i="2"/>
  <c r="T528" i="2" s="1"/>
  <c r="T527" i="2" s="1"/>
  <c r="Y527" i="2"/>
  <c r="Y526" i="2" s="1"/>
  <c r="Y525" i="2" s="1"/>
  <c r="S527" i="2"/>
  <c r="S524" i="2" s="1"/>
  <c r="S523" i="2" s="1"/>
  <c r="S522" i="2" s="1"/>
  <c r="S521" i="2" s="1"/>
  <c r="R527" i="2"/>
  <c r="R524" i="2" s="1"/>
  <c r="R523" i="2" s="1"/>
  <c r="R522" i="2" s="1"/>
  <c r="R521" i="2" s="1"/>
  <c r="Q527" i="2"/>
  <c r="P527" i="2"/>
  <c r="P524" i="2" s="1"/>
  <c r="P523" i="2" s="1"/>
  <c r="P522" i="2" s="1"/>
  <c r="P521" i="2" s="1"/>
  <c r="Y523" i="2"/>
  <c r="Y522" i="2" s="1"/>
  <c r="Y521" i="2" s="1"/>
  <c r="X523" i="2"/>
  <c r="X522" i="2" s="1"/>
  <c r="X521" i="2" s="1"/>
  <c r="W523" i="2"/>
  <c r="W522" i="2" s="1"/>
  <c r="W521" i="2" s="1"/>
  <c r="V523" i="2"/>
  <c r="V522" i="2" s="1"/>
  <c r="V521" i="2" s="1"/>
  <c r="U523" i="2"/>
  <c r="U522" i="2" s="1"/>
  <c r="U521" i="2" s="1"/>
  <c r="T523" i="2"/>
  <c r="T522" i="2" s="1"/>
  <c r="T521" i="2" s="1"/>
  <c r="Q523" i="2"/>
  <c r="Q522" i="2" s="1"/>
  <c r="Q521" i="2" s="1"/>
  <c r="O523" i="2"/>
  <c r="O522" i="2" s="1"/>
  <c r="O521" i="2" s="1"/>
  <c r="K523" i="2"/>
  <c r="K522" i="2" s="1"/>
  <c r="K521" i="2" s="1"/>
  <c r="J523" i="2"/>
  <c r="J522" i="2" s="1"/>
  <c r="J521" i="2" s="1"/>
  <c r="I523" i="2"/>
  <c r="I522" i="2" s="1"/>
  <c r="I521" i="2" s="1"/>
  <c r="H523" i="2"/>
  <c r="H522" i="2" s="1"/>
  <c r="H521" i="2" s="1"/>
  <c r="Y518" i="2"/>
  <c r="X518" i="2"/>
  <c r="W518" i="2"/>
  <c r="V518" i="2"/>
  <c r="U518" i="2"/>
  <c r="T518" i="2"/>
  <c r="S518" i="2"/>
  <c r="R518" i="2"/>
  <c r="Q518" i="2"/>
  <c r="P518" i="2"/>
  <c r="O518" i="2"/>
  <c r="Y516" i="2"/>
  <c r="X516" i="2"/>
  <c r="W516" i="2"/>
  <c r="V516" i="2"/>
  <c r="U516" i="2"/>
  <c r="T516" i="2"/>
  <c r="S516" i="2"/>
  <c r="R516" i="2"/>
  <c r="Q516" i="2"/>
  <c r="P516" i="2"/>
  <c r="O516" i="2"/>
  <c r="K516" i="2"/>
  <c r="K515" i="2" s="1"/>
  <c r="K514" i="2" s="1"/>
  <c r="K513" i="2" s="1"/>
  <c r="J516" i="2"/>
  <c r="J515" i="2" s="1"/>
  <c r="J514" i="2" s="1"/>
  <c r="J513" i="2" s="1"/>
  <c r="I516" i="2"/>
  <c r="I515" i="2" s="1"/>
  <c r="I514" i="2" s="1"/>
  <c r="I513" i="2" s="1"/>
  <c r="H516" i="2"/>
  <c r="H515" i="2" s="1"/>
  <c r="H514" i="2" s="1"/>
  <c r="H513" i="2" s="1"/>
  <c r="O512" i="2"/>
  <c r="T512" i="2" s="1"/>
  <c r="Y511" i="2"/>
  <c r="Y510" i="2" s="1"/>
  <c r="Y509" i="2" s="1"/>
  <c r="X510" i="2"/>
  <c r="X509" i="2" s="1"/>
  <c r="W510" i="2"/>
  <c r="W509" i="2" s="1"/>
  <c r="V510" i="2"/>
  <c r="V509" i="2" s="1"/>
  <c r="U510" i="2"/>
  <c r="U509" i="2" s="1"/>
  <c r="T510" i="2"/>
  <c r="T509" i="2" s="1"/>
  <c r="S510" i="2"/>
  <c r="S509" i="2" s="1"/>
  <c r="R510" i="2"/>
  <c r="R509" i="2" s="1"/>
  <c r="Q510" i="2"/>
  <c r="Q509" i="2" s="1"/>
  <c r="P510" i="2"/>
  <c r="P509" i="2" s="1"/>
  <c r="O510" i="2"/>
  <c r="O509" i="2" s="1"/>
  <c r="K510" i="2"/>
  <c r="K509" i="2" s="1"/>
  <c r="J510" i="2"/>
  <c r="J509" i="2" s="1"/>
  <c r="I510" i="2"/>
  <c r="I509" i="2" s="1"/>
  <c r="Y507" i="2"/>
  <c r="Y506" i="2" s="1"/>
  <c r="O508" i="2"/>
  <c r="O507" i="2" s="1"/>
  <c r="O506" i="2" s="1"/>
  <c r="T507" i="2"/>
  <c r="T506" i="2" s="1"/>
  <c r="S507" i="2"/>
  <c r="S506" i="2" s="1"/>
  <c r="R507" i="2"/>
  <c r="R506" i="2" s="1"/>
  <c r="Q507" i="2"/>
  <c r="Q506" i="2" s="1"/>
  <c r="P507" i="2"/>
  <c r="P506" i="2" s="1"/>
  <c r="K507" i="2"/>
  <c r="K506" i="2" s="1"/>
  <c r="J507" i="2"/>
  <c r="J506" i="2" s="1"/>
  <c r="Y502" i="2"/>
  <c r="X502" i="2"/>
  <c r="X501" i="2" s="1"/>
  <c r="X500" i="2" s="1"/>
  <c r="W502" i="2"/>
  <c r="W501" i="2" s="1"/>
  <c r="W500" i="2" s="1"/>
  <c r="V502" i="2"/>
  <c r="V501" i="2" s="1"/>
  <c r="V500" i="2" s="1"/>
  <c r="U502" i="2"/>
  <c r="U501" i="2" s="1"/>
  <c r="U500" i="2" s="1"/>
  <c r="T502" i="2"/>
  <c r="S502" i="2"/>
  <c r="R502" i="2"/>
  <c r="Q502" i="2"/>
  <c r="P502" i="2"/>
  <c r="O502" i="2"/>
  <c r="K502" i="2"/>
  <c r="J502" i="2"/>
  <c r="J501" i="2" s="1"/>
  <c r="I502" i="2"/>
  <c r="I501" i="2" s="1"/>
  <c r="I500" i="2" s="1"/>
  <c r="H502" i="2"/>
  <c r="H501" i="2" s="1"/>
  <c r="H500" i="2" s="1"/>
  <c r="H499" i="2" s="1"/>
  <c r="J496" i="2"/>
  <c r="J495" i="2"/>
  <c r="X494" i="2"/>
  <c r="X493" i="2" s="1"/>
  <c r="X492" i="2" s="1"/>
  <c r="W494" i="2"/>
  <c r="W493" i="2" s="1"/>
  <c r="W492" i="2" s="1"/>
  <c r="V494" i="2"/>
  <c r="V493" i="2" s="1"/>
  <c r="V492" i="2" s="1"/>
  <c r="U494" i="2"/>
  <c r="U493" i="2" s="1"/>
  <c r="U492" i="2" s="1"/>
  <c r="T494" i="2"/>
  <c r="T493" i="2" s="1"/>
  <c r="T492" i="2" s="1"/>
  <c r="S494" i="2"/>
  <c r="S493" i="2" s="1"/>
  <c r="S492" i="2" s="1"/>
  <c r="R494" i="2"/>
  <c r="R493" i="2" s="1"/>
  <c r="R492" i="2" s="1"/>
  <c r="Q494" i="2"/>
  <c r="Q493" i="2" s="1"/>
  <c r="Q492" i="2" s="1"/>
  <c r="P494" i="2"/>
  <c r="P493" i="2" s="1"/>
  <c r="P492" i="2" s="1"/>
  <c r="O494" i="2"/>
  <c r="O493" i="2" s="1"/>
  <c r="O492" i="2" s="1"/>
  <c r="K494" i="2"/>
  <c r="K493" i="2" s="1"/>
  <c r="K492" i="2" s="1"/>
  <c r="J494" i="2"/>
  <c r="J493" i="2" s="1"/>
  <c r="J492" i="2" s="1"/>
  <c r="I494" i="2"/>
  <c r="I493" i="2" s="1"/>
  <c r="I492" i="2" s="1"/>
  <c r="H494" i="2"/>
  <c r="H493" i="2" s="1"/>
  <c r="H492" i="2" s="1"/>
  <c r="T491" i="2"/>
  <c r="Y490" i="2" s="1"/>
  <c r="Y489" i="2" s="1"/>
  <c r="X490" i="2"/>
  <c r="X489" i="2" s="1"/>
  <c r="W490" i="2"/>
  <c r="W489" i="2" s="1"/>
  <c r="V490" i="2"/>
  <c r="V489" i="2" s="1"/>
  <c r="U490" i="2"/>
  <c r="U489" i="2" s="1"/>
  <c r="T490" i="2"/>
  <c r="T489" i="2" s="1"/>
  <c r="S490" i="2"/>
  <c r="S489" i="2" s="1"/>
  <c r="R490" i="2"/>
  <c r="R489" i="2" s="1"/>
  <c r="Q490" i="2"/>
  <c r="Q489" i="2" s="1"/>
  <c r="P490" i="2"/>
  <c r="P489" i="2" s="1"/>
  <c r="O490" i="2"/>
  <c r="O489" i="2" s="1"/>
  <c r="K490" i="2"/>
  <c r="K489" i="2" s="1"/>
  <c r="J490" i="2"/>
  <c r="J489" i="2" s="1"/>
  <c r="I490" i="2"/>
  <c r="I489" i="2" s="1"/>
  <c r="H490" i="2"/>
  <c r="H489" i="2" s="1"/>
  <c r="T488" i="2"/>
  <c r="Y488" i="2" s="1"/>
  <c r="Y487" i="2" s="1"/>
  <c r="Y486" i="2" s="1"/>
  <c r="O488" i="2"/>
  <c r="O487" i="2" s="1"/>
  <c r="O486" i="2" s="1"/>
  <c r="H488" i="2"/>
  <c r="H487" i="2" s="1"/>
  <c r="H486" i="2" s="1"/>
  <c r="X487" i="2"/>
  <c r="X486" i="2" s="1"/>
  <c r="W487" i="2"/>
  <c r="W486" i="2" s="1"/>
  <c r="V487" i="2"/>
  <c r="V486" i="2" s="1"/>
  <c r="U487" i="2"/>
  <c r="U486" i="2" s="1"/>
  <c r="T487" i="2"/>
  <c r="T486" i="2" s="1"/>
  <c r="S487" i="2"/>
  <c r="S486" i="2" s="1"/>
  <c r="R487" i="2"/>
  <c r="R486" i="2" s="1"/>
  <c r="Q487" i="2"/>
  <c r="Q486" i="2" s="1"/>
  <c r="P487" i="2"/>
  <c r="P486" i="2" s="1"/>
  <c r="K487" i="2"/>
  <c r="K486" i="2" s="1"/>
  <c r="J487" i="2"/>
  <c r="J486" i="2" s="1"/>
  <c r="I487" i="2"/>
  <c r="I486" i="2" s="1"/>
  <c r="Y482" i="2"/>
  <c r="Y481" i="2" s="1"/>
  <c r="Y480" i="2" s="1"/>
  <c r="X481" i="2"/>
  <c r="X480" i="2" s="1"/>
  <c r="W481" i="2"/>
  <c r="W480" i="2" s="1"/>
  <c r="V481" i="2"/>
  <c r="V480" i="2" s="1"/>
  <c r="U481" i="2"/>
  <c r="U480" i="2" s="1"/>
  <c r="T481" i="2"/>
  <c r="T480" i="2" s="1"/>
  <c r="T479" i="2"/>
  <c r="O479" i="2"/>
  <c r="O478" i="2" s="1"/>
  <c r="Y478" i="2"/>
  <c r="X478" i="2"/>
  <c r="W478" i="2"/>
  <c r="V478" i="2"/>
  <c r="U478" i="2"/>
  <c r="T478" i="2"/>
  <c r="S478" i="2"/>
  <c r="R478" i="2"/>
  <c r="Q478" i="2"/>
  <c r="P478" i="2"/>
  <c r="K478" i="2"/>
  <c r="J478" i="2"/>
  <c r="H478" i="2"/>
  <c r="Y476" i="2"/>
  <c r="X476" i="2"/>
  <c r="W476" i="2"/>
  <c r="V476" i="2"/>
  <c r="U476" i="2"/>
  <c r="T476" i="2"/>
  <c r="S476" i="2"/>
  <c r="R476" i="2"/>
  <c r="Q476" i="2"/>
  <c r="P476" i="2"/>
  <c r="O476" i="2"/>
  <c r="K476" i="2"/>
  <c r="J476" i="2"/>
  <c r="I476" i="2"/>
  <c r="I471" i="2" s="1"/>
  <c r="H476" i="2"/>
  <c r="O474" i="2"/>
  <c r="O472" i="2" s="1"/>
  <c r="X472" i="2"/>
  <c r="W472" i="2"/>
  <c r="V472" i="2"/>
  <c r="U472" i="2"/>
  <c r="T472" i="2"/>
  <c r="S472" i="2"/>
  <c r="R472" i="2"/>
  <c r="Q472" i="2"/>
  <c r="P472" i="2"/>
  <c r="K472" i="2"/>
  <c r="J472" i="2"/>
  <c r="Y470" i="2"/>
  <c r="J470" i="2"/>
  <c r="T469" i="2"/>
  <c r="Y469" i="2" s="1"/>
  <c r="Y468" i="2"/>
  <c r="J468" i="2"/>
  <c r="T467" i="2"/>
  <c r="J467" i="2"/>
  <c r="X466" i="2"/>
  <c r="X465" i="2" s="1"/>
  <c r="W466" i="2"/>
  <c r="W465" i="2" s="1"/>
  <c r="V466" i="2"/>
  <c r="V465" i="2" s="1"/>
  <c r="U466" i="2"/>
  <c r="U465" i="2" s="1"/>
  <c r="S466" i="2"/>
  <c r="S465" i="2" s="1"/>
  <c r="R466" i="2"/>
  <c r="R465" i="2" s="1"/>
  <c r="Q466" i="2"/>
  <c r="Q465" i="2" s="1"/>
  <c r="P466" i="2"/>
  <c r="P465" i="2" s="1"/>
  <c r="O466" i="2"/>
  <c r="O465" i="2" s="1"/>
  <c r="N466" i="2"/>
  <c r="M466" i="2"/>
  <c r="L466" i="2"/>
  <c r="K466" i="2"/>
  <c r="K465" i="2" s="1"/>
  <c r="J466" i="2"/>
  <c r="J465" i="2" s="1"/>
  <c r="O464" i="2"/>
  <c r="T464" i="2" s="1"/>
  <c r="O463" i="2"/>
  <c r="S462" i="2"/>
  <c r="R462" i="2"/>
  <c r="Q462" i="2"/>
  <c r="P462" i="2"/>
  <c r="K462" i="2"/>
  <c r="J462" i="2"/>
  <c r="Y461" i="2"/>
  <c r="Y460" i="2" s="1"/>
  <c r="X460" i="2"/>
  <c r="W460" i="2"/>
  <c r="V460" i="2"/>
  <c r="U460" i="2"/>
  <c r="T460" i="2"/>
  <c r="S460" i="2"/>
  <c r="R460" i="2"/>
  <c r="Q460" i="2"/>
  <c r="P460" i="2"/>
  <c r="O460" i="2"/>
  <c r="K460" i="2"/>
  <c r="J460" i="2"/>
  <c r="I460" i="2"/>
  <c r="H460" i="2"/>
  <c r="Y459" i="2"/>
  <c r="Y458" i="2"/>
  <c r="X457" i="2"/>
  <c r="W457" i="2"/>
  <c r="V457" i="2"/>
  <c r="U457" i="2"/>
  <c r="T457" i="2"/>
  <c r="S457" i="2"/>
  <c r="R457" i="2"/>
  <c r="Q457" i="2"/>
  <c r="P457" i="2"/>
  <c r="O457" i="2"/>
  <c r="K457" i="2"/>
  <c r="J457" i="2"/>
  <c r="I457" i="2"/>
  <c r="H457" i="2"/>
  <c r="H456" i="2" s="1"/>
  <c r="Y454" i="2"/>
  <c r="X454" i="2"/>
  <c r="W454" i="2"/>
  <c r="V454" i="2"/>
  <c r="U454" i="2"/>
  <c r="T454" i="2"/>
  <c r="S454" i="2"/>
  <c r="R454" i="2"/>
  <c r="Q454" i="2"/>
  <c r="P454" i="2"/>
  <c r="O454" i="2"/>
  <c r="K454" i="2"/>
  <c r="J454" i="2"/>
  <c r="I454" i="2"/>
  <c r="H454" i="2"/>
  <c r="Y452" i="2"/>
  <c r="X452" i="2"/>
  <c r="W452" i="2"/>
  <c r="V452" i="2"/>
  <c r="U452" i="2"/>
  <c r="T452" i="2"/>
  <c r="S452" i="2"/>
  <c r="R452" i="2"/>
  <c r="Q452" i="2"/>
  <c r="P452" i="2"/>
  <c r="O452" i="2"/>
  <c r="K452" i="2"/>
  <c r="J452" i="2"/>
  <c r="I452" i="2"/>
  <c r="H452" i="2"/>
  <c r="Y450" i="2"/>
  <c r="X450" i="2"/>
  <c r="W450" i="2"/>
  <c r="V450" i="2"/>
  <c r="U450" i="2"/>
  <c r="T450" i="2"/>
  <c r="S450" i="2"/>
  <c r="R450" i="2"/>
  <c r="Q450" i="2"/>
  <c r="P450" i="2"/>
  <c r="O450" i="2"/>
  <c r="K450" i="2"/>
  <c r="J450" i="2"/>
  <c r="I450" i="2"/>
  <c r="H450" i="2"/>
  <c r="Y446" i="2"/>
  <c r="Y445" i="2" s="1"/>
  <c r="X446" i="2"/>
  <c r="X445" i="2" s="1"/>
  <c r="W446" i="2"/>
  <c r="W445" i="2" s="1"/>
  <c r="V446" i="2"/>
  <c r="V445" i="2" s="1"/>
  <c r="U446" i="2"/>
  <c r="U445" i="2" s="1"/>
  <c r="T446" i="2"/>
  <c r="T445" i="2" s="1"/>
  <c r="S446" i="2"/>
  <c r="S445" i="2" s="1"/>
  <c r="R446" i="2"/>
  <c r="R445" i="2" s="1"/>
  <c r="Q446" i="2"/>
  <c r="Q445" i="2" s="1"/>
  <c r="P446" i="2"/>
  <c r="P445" i="2" s="1"/>
  <c r="O446" i="2"/>
  <c r="O445" i="2" s="1"/>
  <c r="K446" i="2"/>
  <c r="K445" i="2" s="1"/>
  <c r="J446" i="2"/>
  <c r="J445" i="2" s="1"/>
  <c r="I446" i="2"/>
  <c r="I445" i="2" s="1"/>
  <c r="H446" i="2"/>
  <c r="H445" i="2" s="1"/>
  <c r="Y443" i="2"/>
  <c r="Y442" i="2" s="1"/>
  <c r="X443" i="2"/>
  <c r="X442" i="2" s="1"/>
  <c r="W443" i="2"/>
  <c r="W442" i="2" s="1"/>
  <c r="V443" i="2"/>
  <c r="V442" i="2" s="1"/>
  <c r="U443" i="2"/>
  <c r="U442" i="2" s="1"/>
  <c r="T443" i="2"/>
  <c r="T442" i="2" s="1"/>
  <c r="S443" i="2"/>
  <c r="S442" i="2" s="1"/>
  <c r="R443" i="2"/>
  <c r="R442" i="2" s="1"/>
  <c r="Q443" i="2"/>
  <c r="Q442" i="2" s="1"/>
  <c r="P443" i="2"/>
  <c r="P442" i="2" s="1"/>
  <c r="O443" i="2"/>
  <c r="O442" i="2" s="1"/>
  <c r="K443" i="2"/>
  <c r="K442" i="2" s="1"/>
  <c r="J443" i="2"/>
  <c r="J442" i="2" s="1"/>
  <c r="I443" i="2"/>
  <c r="I442" i="2" s="1"/>
  <c r="H443" i="2"/>
  <c r="H442" i="2" s="1"/>
  <c r="Y440" i="2"/>
  <c r="Y439" i="2" s="1"/>
  <c r="X440" i="2"/>
  <c r="X439" i="2" s="1"/>
  <c r="W440" i="2"/>
  <c r="W439" i="2" s="1"/>
  <c r="V440" i="2"/>
  <c r="V439" i="2" s="1"/>
  <c r="U440" i="2"/>
  <c r="U439" i="2" s="1"/>
  <c r="T440" i="2"/>
  <c r="T439" i="2" s="1"/>
  <c r="S440" i="2"/>
  <c r="S439" i="2" s="1"/>
  <c r="R440" i="2"/>
  <c r="R439" i="2" s="1"/>
  <c r="Q440" i="2"/>
  <c r="Q439" i="2" s="1"/>
  <c r="P440" i="2"/>
  <c r="P439" i="2" s="1"/>
  <c r="O440" i="2"/>
  <c r="O439" i="2" s="1"/>
  <c r="N440" i="2"/>
  <c r="N439" i="2" s="1"/>
  <c r="N417" i="2" s="1"/>
  <c r="M440" i="2"/>
  <c r="M439" i="2" s="1"/>
  <c r="M417" i="2" s="1"/>
  <c r="L440" i="2"/>
  <c r="L439" i="2" s="1"/>
  <c r="L417" i="2" s="1"/>
  <c r="K440" i="2"/>
  <c r="K439" i="2" s="1"/>
  <c r="J440" i="2"/>
  <c r="J439" i="2" s="1"/>
  <c r="O438" i="2"/>
  <c r="T438" i="2" s="1"/>
  <c r="Y437" i="2"/>
  <c r="Y436" i="2" s="1"/>
  <c r="K437" i="2"/>
  <c r="K436" i="2" s="1"/>
  <c r="J437" i="2"/>
  <c r="J436" i="2" s="1"/>
  <c r="I437" i="2"/>
  <c r="I436" i="2" s="1"/>
  <c r="H437" i="2"/>
  <c r="H436" i="2" s="1"/>
  <c r="Y434" i="2"/>
  <c r="X434" i="2"/>
  <c r="W434" i="2"/>
  <c r="V434" i="2"/>
  <c r="U434" i="2"/>
  <c r="T434" i="2"/>
  <c r="S434" i="2"/>
  <c r="R434" i="2"/>
  <c r="Q434" i="2"/>
  <c r="P434" i="2"/>
  <c r="O434" i="2"/>
  <c r="Y432" i="2"/>
  <c r="X432" i="2"/>
  <c r="W432" i="2"/>
  <c r="V432" i="2"/>
  <c r="U432" i="2"/>
  <c r="T432" i="2"/>
  <c r="S432" i="2"/>
  <c r="R432" i="2"/>
  <c r="Q432" i="2"/>
  <c r="P432" i="2"/>
  <c r="O432" i="2"/>
  <c r="Y430" i="2"/>
  <c r="Y429" i="2" s="1"/>
  <c r="Y428" i="2" s="1"/>
  <c r="X429" i="2"/>
  <c r="X428" i="2" s="1"/>
  <c r="W429" i="2"/>
  <c r="W428" i="2" s="1"/>
  <c r="V429" i="2"/>
  <c r="V428" i="2" s="1"/>
  <c r="U429" i="2"/>
  <c r="U428" i="2" s="1"/>
  <c r="T429" i="2"/>
  <c r="T428" i="2" s="1"/>
  <c r="Y426" i="2"/>
  <c r="Y425" i="2" s="1"/>
  <c r="X426" i="2"/>
  <c r="X425" i="2" s="1"/>
  <c r="W426" i="2"/>
  <c r="W425" i="2" s="1"/>
  <c r="W421" i="2" s="1"/>
  <c r="V426" i="2"/>
  <c r="V425" i="2" s="1"/>
  <c r="V421" i="2" s="1"/>
  <c r="U426" i="2"/>
  <c r="U425" i="2" s="1"/>
  <c r="U421" i="2" s="1"/>
  <c r="T426" i="2"/>
  <c r="T425" i="2" s="1"/>
  <c r="S426" i="2"/>
  <c r="S425" i="2" s="1"/>
  <c r="S421" i="2" s="1"/>
  <c r="R426" i="2"/>
  <c r="R425" i="2" s="1"/>
  <c r="R421" i="2" s="1"/>
  <c r="Q426" i="2"/>
  <c r="Q425" i="2" s="1"/>
  <c r="Q421" i="2" s="1"/>
  <c r="P426" i="2"/>
  <c r="P425" i="2" s="1"/>
  <c r="P421" i="2" s="1"/>
  <c r="O426" i="2"/>
  <c r="O425" i="2" s="1"/>
  <c r="O421" i="2" s="1"/>
  <c r="K426" i="2"/>
  <c r="K425" i="2" s="1"/>
  <c r="K421" i="2" s="1"/>
  <c r="J426" i="2"/>
  <c r="J425" i="2" s="1"/>
  <c r="J421" i="2" s="1"/>
  <c r="I426" i="2"/>
  <c r="I425" i="2" s="1"/>
  <c r="I421" i="2" s="1"/>
  <c r="H426" i="2"/>
  <c r="H425" i="2" s="1"/>
  <c r="H421" i="2" s="1"/>
  <c r="Y424" i="2"/>
  <c r="X423" i="2"/>
  <c r="X422" i="2" s="1"/>
  <c r="T423" i="2"/>
  <c r="T422" i="2" s="1"/>
  <c r="Y420" i="2"/>
  <c r="Y419" i="2" s="1"/>
  <c r="Y418" i="2" s="1"/>
  <c r="X419" i="2"/>
  <c r="X418" i="2" s="1"/>
  <c r="W419" i="2"/>
  <c r="W418" i="2" s="1"/>
  <c r="V419" i="2"/>
  <c r="V418" i="2" s="1"/>
  <c r="U419" i="2"/>
  <c r="U418" i="2" s="1"/>
  <c r="T419" i="2"/>
  <c r="T418" i="2" s="1"/>
  <c r="S419" i="2"/>
  <c r="S418" i="2" s="1"/>
  <c r="R419" i="2"/>
  <c r="R418" i="2" s="1"/>
  <c r="Q419" i="2"/>
  <c r="Q418" i="2" s="1"/>
  <c r="P419" i="2"/>
  <c r="P418" i="2" s="1"/>
  <c r="O419" i="2"/>
  <c r="O418" i="2" s="1"/>
  <c r="K419" i="2"/>
  <c r="K418" i="2" s="1"/>
  <c r="J419" i="2"/>
  <c r="J418" i="2" s="1"/>
  <c r="I419" i="2"/>
  <c r="I418" i="2" s="1"/>
  <c r="H419" i="2"/>
  <c r="H418" i="2" s="1"/>
  <c r="Y415" i="2"/>
  <c r="X415" i="2"/>
  <c r="W415" i="2"/>
  <c r="V415" i="2"/>
  <c r="U415" i="2"/>
  <c r="T415" i="2"/>
  <c r="S415" i="2"/>
  <c r="R415" i="2"/>
  <c r="Q415" i="2"/>
  <c r="P415" i="2"/>
  <c r="O415" i="2"/>
  <c r="J415" i="2"/>
  <c r="H415" i="2"/>
  <c r="T414" i="2"/>
  <c r="T412" i="2" s="1"/>
  <c r="Y412" i="2"/>
  <c r="X412" i="2"/>
  <c r="W412" i="2"/>
  <c r="V412" i="2"/>
  <c r="U412" i="2"/>
  <c r="S412" i="2"/>
  <c r="R412" i="2"/>
  <c r="Q412" i="2"/>
  <c r="P412" i="2"/>
  <c r="O412" i="2"/>
  <c r="J412" i="2"/>
  <c r="H412" i="2"/>
  <c r="Y411" i="2"/>
  <c r="Y410" i="2" s="1"/>
  <c r="O411" i="2"/>
  <c r="O410" i="2" s="1"/>
  <c r="X410" i="2"/>
  <c r="W410" i="2"/>
  <c r="V410" i="2"/>
  <c r="U410" i="2"/>
  <c r="T410" i="2"/>
  <c r="S410" i="2"/>
  <c r="R410" i="2"/>
  <c r="Q410" i="2"/>
  <c r="P410" i="2"/>
  <c r="K410" i="2"/>
  <c r="K409" i="2" s="1"/>
  <c r="K408" i="2" s="1"/>
  <c r="K407" i="2" s="1"/>
  <c r="J410" i="2"/>
  <c r="Y405" i="2"/>
  <c r="X405" i="2"/>
  <c r="W405" i="2"/>
  <c r="V405" i="2"/>
  <c r="U405" i="2"/>
  <c r="T405" i="2"/>
  <c r="S405" i="2"/>
  <c r="R405" i="2"/>
  <c r="Q405" i="2"/>
  <c r="P405" i="2"/>
  <c r="O405" i="2"/>
  <c r="K405" i="2"/>
  <c r="J404" i="2"/>
  <c r="T403" i="2"/>
  <c r="O403" i="2"/>
  <c r="J403" i="2"/>
  <c r="Y401" i="2"/>
  <c r="Y400" i="2" s="1"/>
  <c r="Y399" i="2" s="1"/>
  <c r="Y398" i="2" s="1"/>
  <c r="T402" i="2"/>
  <c r="J402" i="2"/>
  <c r="H402" i="2"/>
  <c r="X401" i="2"/>
  <c r="X400" i="2" s="1"/>
  <c r="W401" i="2"/>
  <c r="W400" i="2" s="1"/>
  <c r="V401" i="2"/>
  <c r="V400" i="2" s="1"/>
  <c r="U401" i="2"/>
  <c r="U400" i="2" s="1"/>
  <c r="T401" i="2"/>
  <c r="T400" i="2" s="1"/>
  <c r="S401" i="2"/>
  <c r="S400" i="2" s="1"/>
  <c r="R401" i="2"/>
  <c r="R400" i="2" s="1"/>
  <c r="Q401" i="2"/>
  <c r="Q400" i="2" s="1"/>
  <c r="P401" i="2"/>
  <c r="P400" i="2" s="1"/>
  <c r="O401" i="2"/>
  <c r="O400" i="2" s="1"/>
  <c r="K401" i="2"/>
  <c r="K400" i="2" s="1"/>
  <c r="J401" i="2"/>
  <c r="J400" i="2" s="1"/>
  <c r="J399" i="2" s="1"/>
  <c r="J398" i="2" s="1"/>
  <c r="H401" i="2"/>
  <c r="H400" i="2" s="1"/>
  <c r="H399" i="2" s="1"/>
  <c r="H398" i="2" s="1"/>
  <c r="T397" i="2"/>
  <c r="Y396" i="2" s="1"/>
  <c r="X396" i="2"/>
  <c r="W396" i="2"/>
  <c r="V396" i="2"/>
  <c r="U396" i="2"/>
  <c r="S396" i="2"/>
  <c r="R396" i="2"/>
  <c r="Q396" i="2"/>
  <c r="P396" i="2"/>
  <c r="O396" i="2"/>
  <c r="K396" i="2"/>
  <c r="J396" i="2"/>
  <c r="Y394" i="2"/>
  <c r="Y393" i="2" s="1"/>
  <c r="J395" i="2"/>
  <c r="X394" i="2"/>
  <c r="X393" i="2" s="1"/>
  <c r="W394" i="2"/>
  <c r="W393" i="2" s="1"/>
  <c r="V394" i="2"/>
  <c r="V393" i="2" s="1"/>
  <c r="U394" i="2"/>
  <c r="U393" i="2" s="1"/>
  <c r="T394" i="2"/>
  <c r="T393" i="2" s="1"/>
  <c r="S394" i="2"/>
  <c r="S393" i="2" s="1"/>
  <c r="R394" i="2"/>
  <c r="R393" i="2" s="1"/>
  <c r="Q394" i="2"/>
  <c r="Q393" i="2" s="1"/>
  <c r="P394" i="2"/>
  <c r="P393" i="2" s="1"/>
  <c r="O394" i="2"/>
  <c r="O393" i="2" s="1"/>
  <c r="K394" i="2"/>
  <c r="K393" i="2" s="1"/>
  <c r="J394" i="2"/>
  <c r="J393" i="2" s="1"/>
  <c r="J392" i="2" s="1"/>
  <c r="J391" i="2" s="1"/>
  <c r="H394" i="2"/>
  <c r="H393" i="2" s="1"/>
  <c r="H392" i="2" s="1"/>
  <c r="H391" i="2" s="1"/>
  <c r="Y388" i="2"/>
  <c r="Y386" i="2" s="1"/>
  <c r="X386" i="2"/>
  <c r="W386" i="2"/>
  <c r="V386" i="2"/>
  <c r="U386" i="2"/>
  <c r="T386" i="2"/>
  <c r="S386" i="2"/>
  <c r="R386" i="2"/>
  <c r="Q386" i="2"/>
  <c r="P386" i="2"/>
  <c r="O386" i="2"/>
  <c r="K386" i="2"/>
  <c r="J386" i="2"/>
  <c r="I386" i="2"/>
  <c r="H386" i="2"/>
  <c r="Y385" i="2"/>
  <c r="Y384" i="2"/>
  <c r="O384" i="2"/>
  <c r="O382" i="2" s="1"/>
  <c r="J384" i="2"/>
  <c r="J383" i="2"/>
  <c r="J382" i="2" s="1"/>
  <c r="X382" i="2"/>
  <c r="W382" i="2"/>
  <c r="V382" i="2"/>
  <c r="U382" i="2"/>
  <c r="T382" i="2"/>
  <c r="S382" i="2"/>
  <c r="R382" i="2"/>
  <c r="Q382" i="2"/>
  <c r="P382" i="2"/>
  <c r="K382" i="2"/>
  <c r="I382" i="2"/>
  <c r="H382" i="2"/>
  <c r="Y380" i="2"/>
  <c r="J381" i="2"/>
  <c r="X380" i="2"/>
  <c r="W380" i="2"/>
  <c r="V380" i="2"/>
  <c r="U380" i="2"/>
  <c r="T380" i="2"/>
  <c r="S380" i="2"/>
  <c r="R380" i="2"/>
  <c r="Q380" i="2"/>
  <c r="P380" i="2"/>
  <c r="O380" i="2"/>
  <c r="K380" i="2"/>
  <c r="J380" i="2"/>
  <c r="I380" i="2"/>
  <c r="H380" i="2"/>
  <c r="Y374" i="2"/>
  <c r="Y373" i="2" s="1"/>
  <c r="X373" i="2"/>
  <c r="W373" i="2"/>
  <c r="V373" i="2"/>
  <c r="U373" i="2"/>
  <c r="T373" i="2"/>
  <c r="S373" i="2"/>
  <c r="R373" i="2"/>
  <c r="Q373" i="2"/>
  <c r="P373" i="2"/>
  <c r="O373" i="2"/>
  <c r="K373" i="2"/>
  <c r="J373" i="2"/>
  <c r="I373" i="2"/>
  <c r="H373" i="2"/>
  <c r="Y372" i="2"/>
  <c r="Y371" i="2" s="1"/>
  <c r="X371" i="2"/>
  <c r="W371" i="2"/>
  <c r="V371" i="2"/>
  <c r="U371" i="2"/>
  <c r="T371" i="2"/>
  <c r="S371" i="2"/>
  <c r="R371" i="2"/>
  <c r="Q371" i="2"/>
  <c r="P371" i="2"/>
  <c r="O371" i="2"/>
  <c r="K371" i="2"/>
  <c r="J371" i="2"/>
  <c r="I371" i="2"/>
  <c r="H371" i="2"/>
  <c r="Y370" i="2"/>
  <c r="Y369" i="2" s="1"/>
  <c r="X369" i="2"/>
  <c r="W369" i="2"/>
  <c r="V369" i="2"/>
  <c r="U369" i="2"/>
  <c r="T369" i="2"/>
  <c r="S369" i="2"/>
  <c r="R369" i="2"/>
  <c r="Q369" i="2"/>
  <c r="P369" i="2"/>
  <c r="O369" i="2"/>
  <c r="K369" i="2"/>
  <c r="J369" i="2"/>
  <c r="I369" i="2"/>
  <c r="H369" i="2"/>
  <c r="Y367" i="2"/>
  <c r="Y366" i="2" s="1"/>
  <c r="Y365" i="2" s="1"/>
  <c r="Y364" i="2" s="1"/>
  <c r="Y363" i="2" s="1"/>
  <c r="X366" i="2"/>
  <c r="X365" i="2" s="1"/>
  <c r="X364" i="2" s="1"/>
  <c r="X363" i="2" s="1"/>
  <c r="W366" i="2"/>
  <c r="W365" i="2" s="1"/>
  <c r="W364" i="2" s="1"/>
  <c r="W363" i="2" s="1"/>
  <c r="V366" i="2"/>
  <c r="V365" i="2" s="1"/>
  <c r="V364" i="2" s="1"/>
  <c r="V363" i="2" s="1"/>
  <c r="U366" i="2"/>
  <c r="U365" i="2" s="1"/>
  <c r="U364" i="2" s="1"/>
  <c r="U363" i="2" s="1"/>
  <c r="T366" i="2"/>
  <c r="T365" i="2" s="1"/>
  <c r="T364" i="2" s="1"/>
  <c r="T363" i="2" s="1"/>
  <c r="S366" i="2"/>
  <c r="S365" i="2" s="1"/>
  <c r="S364" i="2" s="1"/>
  <c r="S363" i="2" s="1"/>
  <c r="R366" i="2"/>
  <c r="R365" i="2" s="1"/>
  <c r="R364" i="2" s="1"/>
  <c r="R363" i="2" s="1"/>
  <c r="Q366" i="2"/>
  <c r="Q365" i="2" s="1"/>
  <c r="Q364" i="2" s="1"/>
  <c r="Q363" i="2" s="1"/>
  <c r="P366" i="2"/>
  <c r="P365" i="2" s="1"/>
  <c r="P364" i="2" s="1"/>
  <c r="P363" i="2" s="1"/>
  <c r="O366" i="2"/>
  <c r="O365" i="2" s="1"/>
  <c r="O364" i="2" s="1"/>
  <c r="O363" i="2" s="1"/>
  <c r="K366" i="2"/>
  <c r="K365" i="2" s="1"/>
  <c r="K364" i="2" s="1"/>
  <c r="K363" i="2" s="1"/>
  <c r="J366" i="2"/>
  <c r="J365" i="2" s="1"/>
  <c r="J364" i="2" s="1"/>
  <c r="J363" i="2" s="1"/>
  <c r="I366" i="2"/>
  <c r="I365" i="2" s="1"/>
  <c r="I364" i="2" s="1"/>
  <c r="I363" i="2" s="1"/>
  <c r="H366" i="2"/>
  <c r="H365" i="2" s="1"/>
  <c r="H364" i="2" s="1"/>
  <c r="H363" i="2" s="1"/>
  <c r="T360" i="2"/>
  <c r="T359" i="2" s="1"/>
  <c r="T358" i="2" s="1"/>
  <c r="X359" i="2"/>
  <c r="X358" i="2" s="1"/>
  <c r="W359" i="2"/>
  <c r="W358" i="2" s="1"/>
  <c r="V359" i="2"/>
  <c r="V358" i="2" s="1"/>
  <c r="U359" i="2"/>
  <c r="U358" i="2" s="1"/>
  <c r="S359" i="2"/>
  <c r="S358" i="2" s="1"/>
  <c r="R359" i="2"/>
  <c r="R358" i="2" s="1"/>
  <c r="Q359" i="2"/>
  <c r="Q358" i="2" s="1"/>
  <c r="P359" i="2"/>
  <c r="P358" i="2" s="1"/>
  <c r="O359" i="2"/>
  <c r="O358" i="2" s="1"/>
  <c r="K359" i="2"/>
  <c r="K358" i="2" s="1"/>
  <c r="Y357" i="2"/>
  <c r="Y356" i="2" s="1"/>
  <c r="Y355" i="2" s="1"/>
  <c r="X356" i="2"/>
  <c r="X355" i="2" s="1"/>
  <c r="W356" i="2"/>
  <c r="W355" i="2" s="1"/>
  <c r="V356" i="2"/>
  <c r="V355" i="2" s="1"/>
  <c r="U356" i="2"/>
  <c r="U355" i="2" s="1"/>
  <c r="T356" i="2"/>
  <c r="T355" i="2" s="1"/>
  <c r="O356" i="2"/>
  <c r="O355" i="2" s="1"/>
  <c r="Y353" i="2"/>
  <c r="X353" i="2"/>
  <c r="W353" i="2"/>
  <c r="V353" i="2"/>
  <c r="U353" i="2"/>
  <c r="T353" i="2"/>
  <c r="S353" i="2"/>
  <c r="R353" i="2"/>
  <c r="Q353" i="2"/>
  <c r="P353" i="2"/>
  <c r="O353" i="2"/>
  <c r="Y351" i="2"/>
  <c r="X351" i="2"/>
  <c r="W351" i="2"/>
  <c r="V351" i="2"/>
  <c r="U351" i="2"/>
  <c r="T351" i="2"/>
  <c r="Y349" i="2"/>
  <c r="X349" i="2"/>
  <c r="W349" i="2"/>
  <c r="V349" i="2"/>
  <c r="U349" i="2"/>
  <c r="T349" i="2"/>
  <c r="Y348" i="2"/>
  <c r="Y347" i="2" s="1"/>
  <c r="X347" i="2"/>
  <c r="W347" i="2"/>
  <c r="V347" i="2"/>
  <c r="U347" i="2"/>
  <c r="T347" i="2"/>
  <c r="S347" i="2"/>
  <c r="R347" i="2"/>
  <c r="Q347" i="2"/>
  <c r="P347" i="2"/>
  <c r="O347" i="2"/>
  <c r="Y345" i="2"/>
  <c r="X345" i="2"/>
  <c r="W345" i="2"/>
  <c r="V345" i="2"/>
  <c r="U345" i="2"/>
  <c r="T345" i="2"/>
  <c r="S345" i="2"/>
  <c r="R345" i="2"/>
  <c r="Q345" i="2"/>
  <c r="P345" i="2"/>
  <c r="O345" i="2"/>
  <c r="Y343" i="2"/>
  <c r="X343" i="2"/>
  <c r="W343" i="2"/>
  <c r="V343" i="2"/>
  <c r="U343" i="2"/>
  <c r="T343" i="2"/>
  <c r="Y340" i="2"/>
  <c r="Y339" i="2" s="1"/>
  <c r="Y338" i="2" s="1"/>
  <c r="Y337" i="2" s="1"/>
  <c r="X339" i="2"/>
  <c r="X338" i="2" s="1"/>
  <c r="X337" i="2" s="1"/>
  <c r="W339" i="2"/>
  <c r="W338" i="2" s="1"/>
  <c r="V339" i="2"/>
  <c r="V338" i="2" s="1"/>
  <c r="U339" i="2"/>
  <c r="U338" i="2" s="1"/>
  <c r="T339" i="2"/>
  <c r="T338" i="2" s="1"/>
  <c r="T337" i="2" s="1"/>
  <c r="O338" i="2"/>
  <c r="O337" i="2" s="1"/>
  <c r="W337" i="2"/>
  <c r="V337" i="2"/>
  <c r="U337" i="2"/>
  <c r="Y333" i="2"/>
  <c r="Y332" i="2" s="1"/>
  <c r="J335" i="2"/>
  <c r="J334" i="2"/>
  <c r="X333" i="2"/>
  <c r="X332" i="2" s="1"/>
  <c r="W333" i="2"/>
  <c r="W332" i="2" s="1"/>
  <c r="V333" i="2"/>
  <c r="V332" i="2" s="1"/>
  <c r="U333" i="2"/>
  <c r="U332" i="2" s="1"/>
  <c r="T333" i="2"/>
  <c r="T332" i="2" s="1"/>
  <c r="S333" i="2"/>
  <c r="S332" i="2" s="1"/>
  <c r="R333" i="2"/>
  <c r="R332" i="2" s="1"/>
  <c r="Q333" i="2"/>
  <c r="Q332" i="2" s="1"/>
  <c r="P333" i="2"/>
  <c r="P332" i="2" s="1"/>
  <c r="O333" i="2"/>
  <c r="O332" i="2" s="1"/>
  <c r="K333" i="2"/>
  <c r="K332" i="2" s="1"/>
  <c r="J333" i="2"/>
  <c r="J332" i="2" s="1"/>
  <c r="I333" i="2"/>
  <c r="I332" i="2" s="1"/>
  <c r="H333" i="2"/>
  <c r="H332" i="2" s="1"/>
  <c r="Y328" i="2"/>
  <c r="Y327" i="2" s="1"/>
  <c r="J330" i="2"/>
  <c r="J329" i="2"/>
  <c r="X328" i="2"/>
  <c r="X327" i="2" s="1"/>
  <c r="W328" i="2"/>
  <c r="W327" i="2" s="1"/>
  <c r="V328" i="2"/>
  <c r="V327" i="2" s="1"/>
  <c r="U328" i="2"/>
  <c r="U327" i="2" s="1"/>
  <c r="T328" i="2"/>
  <c r="T327" i="2" s="1"/>
  <c r="S328" i="2"/>
  <c r="S327" i="2" s="1"/>
  <c r="R328" i="2"/>
  <c r="R327" i="2" s="1"/>
  <c r="Q328" i="2"/>
  <c r="Q327" i="2" s="1"/>
  <c r="P328" i="2"/>
  <c r="P327" i="2" s="1"/>
  <c r="O328" i="2"/>
  <c r="O327" i="2" s="1"/>
  <c r="K328" i="2"/>
  <c r="K327" i="2" s="1"/>
  <c r="J328" i="2"/>
  <c r="J327" i="2" s="1"/>
  <c r="I328" i="2"/>
  <c r="I327" i="2" s="1"/>
  <c r="H328" i="2"/>
  <c r="H327" i="2" s="1"/>
  <c r="S325" i="2"/>
  <c r="S323" i="2" s="1"/>
  <c r="S322" i="2" s="1"/>
  <c r="R325" i="2"/>
  <c r="R323" i="2" s="1"/>
  <c r="R322" i="2" s="1"/>
  <c r="J325" i="2"/>
  <c r="T324" i="2"/>
  <c r="J324" i="2"/>
  <c r="X323" i="2"/>
  <c r="X322" i="2" s="1"/>
  <c r="W323" i="2"/>
  <c r="W322" i="2" s="1"/>
  <c r="V323" i="2"/>
  <c r="V322" i="2" s="1"/>
  <c r="U323" i="2"/>
  <c r="U322" i="2" s="1"/>
  <c r="Q323" i="2"/>
  <c r="Q322" i="2" s="1"/>
  <c r="P323" i="2"/>
  <c r="P322" i="2" s="1"/>
  <c r="O323" i="2"/>
  <c r="O322" i="2" s="1"/>
  <c r="K323" i="2"/>
  <c r="K322" i="2" s="1"/>
  <c r="J323" i="2"/>
  <c r="J322" i="2" s="1"/>
  <c r="I323" i="2"/>
  <c r="I322" i="2" s="1"/>
  <c r="H323" i="2"/>
  <c r="H322" i="2" s="1"/>
  <c r="Y318" i="2"/>
  <c r="Y315" i="2" s="1"/>
  <c r="X318" i="2"/>
  <c r="X315" i="2" s="1"/>
  <c r="W318" i="2"/>
  <c r="W315" i="2" s="1"/>
  <c r="V318" i="2"/>
  <c r="V315" i="2" s="1"/>
  <c r="U318" i="2"/>
  <c r="U315" i="2" s="1"/>
  <c r="T318" i="2"/>
  <c r="T315" i="2" s="1"/>
  <c r="S318" i="2"/>
  <c r="S315" i="2" s="1"/>
  <c r="R318" i="2"/>
  <c r="R315" i="2" s="1"/>
  <c r="Q318" i="2"/>
  <c r="Q315" i="2" s="1"/>
  <c r="P318" i="2"/>
  <c r="P315" i="2" s="1"/>
  <c r="O318" i="2"/>
  <c r="O315" i="2" s="1"/>
  <c r="K318" i="2"/>
  <c r="K315" i="2" s="1"/>
  <c r="J318" i="2"/>
  <c r="J315" i="2" s="1"/>
  <c r="I318" i="2"/>
  <c r="I315" i="2" s="1"/>
  <c r="H318" i="2"/>
  <c r="H315" i="2" s="1"/>
  <c r="Y313" i="2"/>
  <c r="Y312" i="2" s="1"/>
  <c r="Y311" i="2" s="1"/>
  <c r="X312" i="2"/>
  <c r="X311" i="2" s="1"/>
  <c r="W312" i="2"/>
  <c r="W311" i="2" s="1"/>
  <c r="V312" i="2"/>
  <c r="V311" i="2" s="1"/>
  <c r="U312" i="2"/>
  <c r="U311" i="2" s="1"/>
  <c r="T312" i="2"/>
  <c r="T311" i="2" s="1"/>
  <c r="S312" i="2"/>
  <c r="S311" i="2" s="1"/>
  <c r="R312" i="2"/>
  <c r="R311" i="2" s="1"/>
  <c r="Q312" i="2"/>
  <c r="Q311" i="2" s="1"/>
  <c r="P312" i="2"/>
  <c r="P311" i="2" s="1"/>
  <c r="O312" i="2"/>
  <c r="O311" i="2" s="1"/>
  <c r="T310" i="2"/>
  <c r="T309" i="2" s="1"/>
  <c r="S309" i="2"/>
  <c r="R309" i="2"/>
  <c r="Q309" i="2"/>
  <c r="P309" i="2"/>
  <c r="O309" i="2"/>
  <c r="O308" i="2" s="1"/>
  <c r="K309" i="2"/>
  <c r="K308" i="2" s="1"/>
  <c r="J309" i="2"/>
  <c r="J308" i="2" s="1"/>
  <c r="Y306" i="2"/>
  <c r="Y305" i="2" s="1"/>
  <c r="X306" i="2"/>
  <c r="X305" i="2" s="1"/>
  <c r="W306" i="2"/>
  <c r="W305" i="2" s="1"/>
  <c r="V306" i="2"/>
  <c r="V305" i="2" s="1"/>
  <c r="U306" i="2"/>
  <c r="U305" i="2" s="1"/>
  <c r="T306" i="2"/>
  <c r="T305" i="2" s="1"/>
  <c r="S306" i="2"/>
  <c r="S305" i="2" s="1"/>
  <c r="R306" i="2"/>
  <c r="R305" i="2" s="1"/>
  <c r="Q306" i="2"/>
  <c r="Q305" i="2" s="1"/>
  <c r="P306" i="2"/>
  <c r="P305" i="2" s="1"/>
  <c r="O306" i="2"/>
  <c r="O305" i="2" s="1"/>
  <c r="K306" i="2"/>
  <c r="K305" i="2" s="1"/>
  <c r="J306" i="2"/>
  <c r="J305" i="2" s="1"/>
  <c r="I306" i="2"/>
  <c r="I305" i="2" s="1"/>
  <c r="H306" i="2"/>
  <c r="H305" i="2" s="1"/>
  <c r="Y304" i="2"/>
  <c r="Y303" i="2" s="1"/>
  <c r="X303" i="2"/>
  <c r="W303" i="2"/>
  <c r="V303" i="2"/>
  <c r="U303" i="2"/>
  <c r="T303" i="2"/>
  <c r="S303" i="2"/>
  <c r="R303" i="2"/>
  <c r="Q303" i="2"/>
  <c r="P303" i="2"/>
  <c r="O303" i="2"/>
  <c r="N303" i="2"/>
  <c r="N294" i="2" s="1"/>
  <c r="M303" i="2"/>
  <c r="M294" i="2" s="1"/>
  <c r="L303" i="2"/>
  <c r="L294" i="2" s="1"/>
  <c r="K303" i="2"/>
  <c r="J303" i="2"/>
  <c r="O302" i="2"/>
  <c r="O301" i="2" s="1"/>
  <c r="S301" i="2"/>
  <c r="R301" i="2"/>
  <c r="Q301" i="2"/>
  <c r="P301" i="2"/>
  <c r="K301" i="2"/>
  <c r="J301" i="2"/>
  <c r="Y299" i="2"/>
  <c r="X299" i="2"/>
  <c r="W299" i="2"/>
  <c r="V299" i="2"/>
  <c r="U299" i="2"/>
  <c r="T299" i="2"/>
  <c r="S299" i="2"/>
  <c r="R299" i="2"/>
  <c r="Q299" i="2"/>
  <c r="P299" i="2"/>
  <c r="O299" i="2"/>
  <c r="K299" i="2"/>
  <c r="J299" i="2"/>
  <c r="I299" i="2"/>
  <c r="H299" i="2"/>
  <c r="Y297" i="2"/>
  <c r="X297" i="2"/>
  <c r="W297" i="2"/>
  <c r="V297" i="2"/>
  <c r="U297" i="2"/>
  <c r="T297" i="2"/>
  <c r="S297" i="2"/>
  <c r="R297" i="2"/>
  <c r="Q297" i="2"/>
  <c r="P297" i="2"/>
  <c r="O297" i="2"/>
  <c r="K297" i="2"/>
  <c r="J297" i="2"/>
  <c r="I297" i="2"/>
  <c r="H297" i="2"/>
  <c r="Y295" i="2"/>
  <c r="X295" i="2"/>
  <c r="W295" i="2"/>
  <c r="V295" i="2"/>
  <c r="U295" i="2"/>
  <c r="T295" i="2"/>
  <c r="S295" i="2"/>
  <c r="R295" i="2"/>
  <c r="Q295" i="2"/>
  <c r="P295" i="2"/>
  <c r="O295" i="2"/>
  <c r="K295" i="2"/>
  <c r="J295" i="2"/>
  <c r="I295" i="2"/>
  <c r="H295" i="2"/>
  <c r="X291" i="2"/>
  <c r="W291" i="2"/>
  <c r="V291" i="2"/>
  <c r="U291" i="2"/>
  <c r="T291" i="2"/>
  <c r="S291" i="2"/>
  <c r="R291" i="2"/>
  <c r="Q291" i="2"/>
  <c r="P291" i="2"/>
  <c r="O291" i="2"/>
  <c r="K291" i="2"/>
  <c r="J291" i="2"/>
  <c r="I291" i="2"/>
  <c r="H291" i="2"/>
  <c r="T290" i="2"/>
  <c r="Y290" i="2" s="1"/>
  <c r="S289" i="2"/>
  <c r="R289" i="2"/>
  <c r="Q289" i="2"/>
  <c r="P289" i="2"/>
  <c r="O289" i="2"/>
  <c r="K289" i="2"/>
  <c r="J289" i="2"/>
  <c r="I289" i="2"/>
  <c r="H289" i="2"/>
  <c r="J288" i="2"/>
  <c r="Y287" i="2"/>
  <c r="X287" i="2"/>
  <c r="W287" i="2"/>
  <c r="V287" i="2"/>
  <c r="U287" i="2"/>
  <c r="T287" i="2"/>
  <c r="S287" i="2"/>
  <c r="R287" i="2"/>
  <c r="Q287" i="2"/>
  <c r="P287" i="2"/>
  <c r="O287" i="2"/>
  <c r="K287" i="2"/>
  <c r="J287" i="2"/>
  <c r="I287" i="2"/>
  <c r="H287" i="2"/>
  <c r="Y284" i="2"/>
  <c r="X284" i="2"/>
  <c r="W284" i="2"/>
  <c r="V284" i="2"/>
  <c r="U284" i="2"/>
  <c r="T284" i="2"/>
  <c r="S284" i="2"/>
  <c r="R284" i="2"/>
  <c r="Q284" i="2"/>
  <c r="P284" i="2"/>
  <c r="O284" i="2"/>
  <c r="K284" i="2"/>
  <c r="J284" i="2"/>
  <c r="I284" i="2"/>
  <c r="H284" i="2"/>
  <c r="Y279" i="2"/>
  <c r="Y278" i="2" s="1"/>
  <c r="X279" i="2"/>
  <c r="X278" i="2" s="1"/>
  <c r="W279" i="2"/>
  <c r="W278" i="2" s="1"/>
  <c r="V279" i="2"/>
  <c r="V278" i="2" s="1"/>
  <c r="U279" i="2"/>
  <c r="U278" i="2" s="1"/>
  <c r="T279" i="2"/>
  <c r="T278" i="2" s="1"/>
  <c r="S279" i="2"/>
  <c r="S278" i="2" s="1"/>
  <c r="R279" i="2"/>
  <c r="R278" i="2" s="1"/>
  <c r="Q279" i="2"/>
  <c r="Q278" i="2" s="1"/>
  <c r="P279" i="2"/>
  <c r="P278" i="2" s="1"/>
  <c r="O279" i="2"/>
  <c r="O278" i="2" s="1"/>
  <c r="K279" i="2"/>
  <c r="K278" i="2" s="1"/>
  <c r="J279" i="2"/>
  <c r="J278" i="2" s="1"/>
  <c r="I279" i="2"/>
  <c r="I278" i="2" s="1"/>
  <c r="H279" i="2"/>
  <c r="H278" i="2" s="1"/>
  <c r="Y277" i="2"/>
  <c r="U276" i="2"/>
  <c r="U275" i="2" s="1"/>
  <c r="T276" i="2"/>
  <c r="S276" i="2"/>
  <c r="S275" i="2" s="1"/>
  <c r="R276" i="2"/>
  <c r="R275" i="2" s="1"/>
  <c r="Q276" i="2"/>
  <c r="Q275" i="2" s="1"/>
  <c r="P276" i="2"/>
  <c r="P275" i="2" s="1"/>
  <c r="O276" i="2"/>
  <c r="O275" i="2" s="1"/>
  <c r="K276" i="2"/>
  <c r="K275" i="2" s="1"/>
  <c r="J276" i="2"/>
  <c r="J275" i="2" s="1"/>
  <c r="I276" i="2"/>
  <c r="I275" i="2" s="1"/>
  <c r="H276" i="2"/>
  <c r="H275" i="2" s="1"/>
  <c r="T274" i="2"/>
  <c r="S274" i="2"/>
  <c r="R274" i="2"/>
  <c r="Q274" i="2"/>
  <c r="P274" i="2"/>
  <c r="O274" i="2"/>
  <c r="K274" i="2"/>
  <c r="J274" i="2"/>
  <c r="I274" i="2"/>
  <c r="H274" i="2"/>
  <c r="Y272" i="2"/>
  <c r="Y271" i="2" s="1"/>
  <c r="X272" i="2"/>
  <c r="X271" i="2" s="1"/>
  <c r="W272" i="2"/>
  <c r="W271" i="2" s="1"/>
  <c r="V272" i="2"/>
  <c r="V271" i="2" s="1"/>
  <c r="U272" i="2"/>
  <c r="U271" i="2" s="1"/>
  <c r="T272" i="2"/>
  <c r="T271" i="2" s="1"/>
  <c r="S272" i="2"/>
  <c r="S271" i="2" s="1"/>
  <c r="R272" i="2"/>
  <c r="R271" i="2" s="1"/>
  <c r="Q272" i="2"/>
  <c r="Q271" i="2" s="1"/>
  <c r="P272" i="2"/>
  <c r="P271" i="2" s="1"/>
  <c r="O272" i="2"/>
  <c r="O271" i="2" s="1"/>
  <c r="K272" i="2"/>
  <c r="K271" i="2" s="1"/>
  <c r="J272" i="2"/>
  <c r="J271" i="2" s="1"/>
  <c r="I272" i="2"/>
  <c r="I271" i="2" s="1"/>
  <c r="H272" i="2"/>
  <c r="H271" i="2" s="1"/>
  <c r="Y269" i="2"/>
  <c r="Y266" i="2" s="1"/>
  <c r="X269" i="2"/>
  <c r="X266" i="2" s="1"/>
  <c r="T269" i="2"/>
  <c r="T268" i="2"/>
  <c r="T267" i="2" s="1"/>
  <c r="O268" i="2"/>
  <c r="Y267" i="2"/>
  <c r="S267" i="2"/>
  <c r="S266" i="2" s="1"/>
  <c r="R267" i="2"/>
  <c r="R266" i="2" s="1"/>
  <c r="Q267" i="2"/>
  <c r="Q266" i="2" s="1"/>
  <c r="P267" i="2"/>
  <c r="P266" i="2" s="1"/>
  <c r="O267" i="2"/>
  <c r="O266" i="2" s="1"/>
  <c r="K267" i="2"/>
  <c r="K266" i="2" s="1"/>
  <c r="J267" i="2"/>
  <c r="J266" i="2" s="1"/>
  <c r="I267" i="2"/>
  <c r="I266" i="2" s="1"/>
  <c r="H267" i="2"/>
  <c r="H266" i="2" s="1"/>
  <c r="Y264" i="2"/>
  <c r="Y263" i="2" s="1"/>
  <c r="X264" i="2"/>
  <c r="X263" i="2" s="1"/>
  <c r="W264" i="2"/>
  <c r="W263" i="2" s="1"/>
  <c r="V264" i="2"/>
  <c r="V263" i="2" s="1"/>
  <c r="U264" i="2"/>
  <c r="U263" i="2" s="1"/>
  <c r="T264" i="2"/>
  <c r="T263" i="2" s="1"/>
  <c r="S264" i="2"/>
  <c r="R264" i="2"/>
  <c r="Q264" i="2"/>
  <c r="P264" i="2"/>
  <c r="P263" i="2" s="1"/>
  <c r="O264" i="2"/>
  <c r="O263" i="2" s="1"/>
  <c r="Y256" i="2"/>
  <c r="Y255" i="2" s="1"/>
  <c r="X256" i="2"/>
  <c r="X255" i="2" s="1"/>
  <c r="W256" i="2"/>
  <c r="W255" i="2" s="1"/>
  <c r="V256" i="2"/>
  <c r="V255" i="2" s="1"/>
  <c r="U256" i="2"/>
  <c r="U255" i="2" s="1"/>
  <c r="T256" i="2"/>
  <c r="T255" i="2" s="1"/>
  <c r="S256" i="2"/>
  <c r="S255" i="2" s="1"/>
  <c r="R256" i="2"/>
  <c r="R255" i="2" s="1"/>
  <c r="Q256" i="2"/>
  <c r="Q255" i="2" s="1"/>
  <c r="P256" i="2"/>
  <c r="P255" i="2" s="1"/>
  <c r="O256" i="2"/>
  <c r="O255" i="2" s="1"/>
  <c r="K256" i="2"/>
  <c r="K255" i="2" s="1"/>
  <c r="J256" i="2"/>
  <c r="J255" i="2" s="1"/>
  <c r="I256" i="2"/>
  <c r="I255" i="2" s="1"/>
  <c r="H256" i="2"/>
  <c r="H255" i="2" s="1"/>
  <c r="Y253" i="2"/>
  <c r="Y252" i="2" s="1"/>
  <c r="X253" i="2"/>
  <c r="X252" i="2" s="1"/>
  <c r="W253" i="2"/>
  <c r="W252" i="2" s="1"/>
  <c r="V253" i="2"/>
  <c r="V252" i="2" s="1"/>
  <c r="U253" i="2"/>
  <c r="U252" i="2" s="1"/>
  <c r="T253" i="2"/>
  <c r="T252" i="2" s="1"/>
  <c r="S253" i="2"/>
  <c r="S252" i="2" s="1"/>
  <c r="R253" i="2"/>
  <c r="R252" i="2" s="1"/>
  <c r="Q253" i="2"/>
  <c r="Q252" i="2" s="1"/>
  <c r="P253" i="2"/>
  <c r="P252" i="2" s="1"/>
  <c r="O253" i="2"/>
  <c r="O252" i="2" s="1"/>
  <c r="K253" i="2"/>
  <c r="K252" i="2" s="1"/>
  <c r="J253" i="2"/>
  <c r="J252" i="2" s="1"/>
  <c r="Y250" i="2"/>
  <c r="Y249" i="2" s="1"/>
  <c r="X250" i="2"/>
  <c r="X249" i="2" s="1"/>
  <c r="W250" i="2"/>
  <c r="W249" i="2" s="1"/>
  <c r="V250" i="2"/>
  <c r="V249" i="2" s="1"/>
  <c r="U250" i="2"/>
  <c r="U249" i="2" s="1"/>
  <c r="T250" i="2"/>
  <c r="T249" i="2" s="1"/>
  <c r="S250" i="2"/>
  <c r="S249" i="2" s="1"/>
  <c r="R250" i="2"/>
  <c r="R249" i="2" s="1"/>
  <c r="Q250" i="2"/>
  <c r="Q249" i="2" s="1"/>
  <c r="P250" i="2"/>
  <c r="P249" i="2" s="1"/>
  <c r="O250" i="2"/>
  <c r="O249" i="2" s="1"/>
  <c r="K250" i="2"/>
  <c r="K249" i="2" s="1"/>
  <c r="J250" i="2"/>
  <c r="J249" i="2" s="1"/>
  <c r="I250" i="2"/>
  <c r="I249" i="2" s="1"/>
  <c r="H250" i="2"/>
  <c r="H249" i="2" s="1"/>
  <c r="T248" i="2"/>
  <c r="T247" i="2" s="1"/>
  <c r="Y247" i="2"/>
  <c r="S247" i="2"/>
  <c r="R247" i="2"/>
  <c r="Q247" i="2"/>
  <c r="P247" i="2"/>
  <c r="O247" i="2"/>
  <c r="K247" i="2"/>
  <c r="J247" i="2"/>
  <c r="Y245" i="2"/>
  <c r="Y244" i="2" s="1"/>
  <c r="X245" i="2"/>
  <c r="X244" i="2" s="1"/>
  <c r="W245" i="2"/>
  <c r="W244" i="2" s="1"/>
  <c r="V245" i="2"/>
  <c r="V244" i="2" s="1"/>
  <c r="U245" i="2"/>
  <c r="U244" i="2" s="1"/>
  <c r="T245" i="2"/>
  <c r="T244" i="2" s="1"/>
  <c r="S245" i="2"/>
  <c r="S244" i="2" s="1"/>
  <c r="R245" i="2"/>
  <c r="R244" i="2" s="1"/>
  <c r="Q245" i="2"/>
  <c r="Q244" i="2" s="1"/>
  <c r="P245" i="2"/>
  <c r="P244" i="2" s="1"/>
  <c r="O245" i="2"/>
  <c r="O244" i="2" s="1"/>
  <c r="K245" i="2"/>
  <c r="K244" i="2" s="1"/>
  <c r="J245" i="2"/>
  <c r="J244" i="2" s="1"/>
  <c r="I245" i="2"/>
  <c r="I244" i="2" s="1"/>
  <c r="H245" i="2"/>
  <c r="H244" i="2" s="1"/>
  <c r="X243" i="2"/>
  <c r="Y242" i="2" s="1"/>
  <c r="W242" i="2"/>
  <c r="V242" i="2"/>
  <c r="U242" i="2"/>
  <c r="T242" i="2"/>
  <c r="S242" i="2"/>
  <c r="R242" i="2"/>
  <c r="Q242" i="2"/>
  <c r="P242" i="2"/>
  <c r="O242" i="2"/>
  <c r="K242" i="2"/>
  <c r="J242" i="2"/>
  <c r="I242" i="2"/>
  <c r="H242" i="2"/>
  <c r="Y241" i="2"/>
  <c r="Y240" i="2" s="1"/>
  <c r="P241" i="2"/>
  <c r="O241" i="2"/>
  <c r="X240" i="2"/>
  <c r="W240" i="2"/>
  <c r="V240" i="2"/>
  <c r="U240" i="2"/>
  <c r="T240" i="2"/>
  <c r="S240" i="2"/>
  <c r="R240" i="2"/>
  <c r="Q240" i="2"/>
  <c r="P240" i="2"/>
  <c r="O240" i="2"/>
  <c r="K240" i="2"/>
  <c r="J240" i="2"/>
  <c r="I240" i="2"/>
  <c r="H240" i="2"/>
  <c r="Y238" i="2"/>
  <c r="T239" i="2"/>
  <c r="O239" i="2"/>
  <c r="O238" i="2" s="1"/>
  <c r="J239" i="2"/>
  <c r="J238" i="2" s="1"/>
  <c r="H239" i="2"/>
  <c r="X238" i="2"/>
  <c r="W238" i="2"/>
  <c r="V238" i="2"/>
  <c r="U238" i="2"/>
  <c r="T238" i="2"/>
  <c r="S238" i="2"/>
  <c r="R238" i="2"/>
  <c r="Q238" i="2"/>
  <c r="P238" i="2"/>
  <c r="K238" i="2"/>
  <c r="I238" i="2"/>
  <c r="H238" i="2"/>
  <c r="Y236" i="2"/>
  <c r="Y235" i="2" s="1"/>
  <c r="X235" i="2"/>
  <c r="W235" i="2"/>
  <c r="V235" i="2"/>
  <c r="U235" i="2"/>
  <c r="T235" i="2"/>
  <c r="S235" i="2"/>
  <c r="R235" i="2"/>
  <c r="Q235" i="2"/>
  <c r="P235" i="2"/>
  <c r="O235" i="2"/>
  <c r="K235" i="2"/>
  <c r="T234" i="2"/>
  <c r="T233" i="2" s="1"/>
  <c r="S233" i="2"/>
  <c r="R233" i="2"/>
  <c r="Q233" i="2"/>
  <c r="P233" i="2"/>
  <c r="O233" i="2"/>
  <c r="K233" i="2"/>
  <c r="J233" i="2"/>
  <c r="Y232" i="2"/>
  <c r="Y231" i="2" s="1"/>
  <c r="X231" i="2"/>
  <c r="W231" i="2"/>
  <c r="V231" i="2"/>
  <c r="U231" i="2"/>
  <c r="T231" i="2"/>
  <c r="S231" i="2"/>
  <c r="R231" i="2"/>
  <c r="Q231" i="2"/>
  <c r="P231" i="2"/>
  <c r="O231" i="2"/>
  <c r="K231" i="2"/>
  <c r="J231" i="2"/>
  <c r="I231" i="2"/>
  <c r="H231" i="2"/>
  <c r="T230" i="2"/>
  <c r="Y229" i="2"/>
  <c r="X229" i="2"/>
  <c r="W229" i="2"/>
  <c r="V229" i="2"/>
  <c r="U229" i="2"/>
  <c r="T229" i="2"/>
  <c r="S229" i="2"/>
  <c r="R229" i="2"/>
  <c r="Q229" i="2"/>
  <c r="P229" i="2"/>
  <c r="O229" i="2"/>
  <c r="K229" i="2"/>
  <c r="J229" i="2"/>
  <c r="I229" i="2"/>
  <c r="H229" i="2"/>
  <c r="T228" i="2"/>
  <c r="Y227" i="2"/>
  <c r="X227" i="2"/>
  <c r="W227" i="2"/>
  <c r="V227" i="2"/>
  <c r="V226" i="2" s="1"/>
  <c r="U227" i="2"/>
  <c r="U226" i="2" s="1"/>
  <c r="T227" i="2"/>
  <c r="S227" i="2"/>
  <c r="R227" i="2"/>
  <c r="Q227" i="2"/>
  <c r="P227" i="2"/>
  <c r="O227" i="2"/>
  <c r="K227" i="2"/>
  <c r="J227" i="2"/>
  <c r="I227" i="2"/>
  <c r="I226" i="2" s="1"/>
  <c r="H227" i="2"/>
  <c r="Y224" i="2"/>
  <c r="X224" i="2"/>
  <c r="W224" i="2"/>
  <c r="V224" i="2"/>
  <c r="U224" i="2"/>
  <c r="T224" i="2"/>
  <c r="S224" i="2"/>
  <c r="R224" i="2"/>
  <c r="Q224" i="2"/>
  <c r="P224" i="2"/>
  <c r="O224" i="2"/>
  <c r="K224" i="2"/>
  <c r="J224" i="2"/>
  <c r="I224" i="2"/>
  <c r="H224" i="2"/>
  <c r="N221" i="2"/>
  <c r="M221" i="2"/>
  <c r="L221" i="2"/>
  <c r="Y219" i="2"/>
  <c r="Y218" i="2" s="1"/>
  <c r="X219" i="2"/>
  <c r="Y217" i="2"/>
  <c r="Y216" i="2" s="1"/>
  <c r="X216" i="2"/>
  <c r="W216" i="2"/>
  <c r="W215" i="2" s="1"/>
  <c r="V216" i="2"/>
  <c r="V215" i="2" s="1"/>
  <c r="U216" i="2"/>
  <c r="U215" i="2" s="1"/>
  <c r="T216" i="2"/>
  <c r="T215" i="2" s="1"/>
  <c r="S216" i="2"/>
  <c r="S215" i="2" s="1"/>
  <c r="R216" i="2"/>
  <c r="R215" i="2" s="1"/>
  <c r="Q216" i="2"/>
  <c r="Q215" i="2" s="1"/>
  <c r="P216" i="2"/>
  <c r="P215" i="2" s="1"/>
  <c r="O216" i="2"/>
  <c r="O215" i="2" s="1"/>
  <c r="Y213" i="2"/>
  <c r="Y212" i="2" s="1"/>
  <c r="X213" i="2"/>
  <c r="X212" i="2" s="1"/>
  <c r="W213" i="2"/>
  <c r="W212" i="2" s="1"/>
  <c r="V213" i="2"/>
  <c r="V212" i="2" s="1"/>
  <c r="U213" i="2"/>
  <c r="U212" i="2" s="1"/>
  <c r="T213" i="2"/>
  <c r="T212" i="2" s="1"/>
  <c r="S213" i="2"/>
  <c r="S212" i="2" s="1"/>
  <c r="R213" i="2"/>
  <c r="R212" i="2" s="1"/>
  <c r="Q213" i="2"/>
  <c r="Q212" i="2" s="1"/>
  <c r="P213" i="2"/>
  <c r="P212" i="2" s="1"/>
  <c r="O213" i="2"/>
  <c r="O212" i="2" s="1"/>
  <c r="K213" i="2"/>
  <c r="K212" i="2" s="1"/>
  <c r="J213" i="2"/>
  <c r="J212" i="2" s="1"/>
  <c r="I213" i="2"/>
  <c r="I212" i="2" s="1"/>
  <c r="H213" i="2"/>
  <c r="H212" i="2" s="1"/>
  <c r="Y210" i="2"/>
  <c r="Y209" i="2" s="1"/>
  <c r="X210" i="2"/>
  <c r="X209" i="2" s="1"/>
  <c r="W210" i="2"/>
  <c r="W209" i="2" s="1"/>
  <c r="V210" i="2"/>
  <c r="V209" i="2" s="1"/>
  <c r="U210" i="2"/>
  <c r="U209" i="2" s="1"/>
  <c r="T210" i="2"/>
  <c r="T209" i="2" s="1"/>
  <c r="S210" i="2"/>
  <c r="S209" i="2" s="1"/>
  <c r="R210" i="2"/>
  <c r="R209" i="2" s="1"/>
  <c r="Q210" i="2"/>
  <c r="Q209" i="2" s="1"/>
  <c r="P210" i="2"/>
  <c r="P209" i="2" s="1"/>
  <c r="O210" i="2"/>
  <c r="O209" i="2" s="1"/>
  <c r="K210" i="2"/>
  <c r="K209" i="2" s="1"/>
  <c r="J210" i="2"/>
  <c r="J209" i="2" s="1"/>
  <c r="I210" i="2"/>
  <c r="I209" i="2" s="1"/>
  <c r="H210" i="2"/>
  <c r="H209" i="2" s="1"/>
  <c r="Y207" i="2"/>
  <c r="X208" i="2"/>
  <c r="X207" i="2"/>
  <c r="W207" i="2"/>
  <c r="V207" i="2"/>
  <c r="U207" i="2"/>
  <c r="T207" i="2"/>
  <c r="S207" i="2"/>
  <c r="R207" i="2"/>
  <c r="Q207" i="2"/>
  <c r="P207" i="2"/>
  <c r="O207" i="2"/>
  <c r="K207" i="2"/>
  <c r="J207" i="2"/>
  <c r="I207" i="2"/>
  <c r="H207" i="2"/>
  <c r="Y206" i="2"/>
  <c r="Y205" i="2" s="1"/>
  <c r="P206" i="2"/>
  <c r="P205" i="2" s="1"/>
  <c r="O206" i="2"/>
  <c r="O205" i="2" s="1"/>
  <c r="X205" i="2"/>
  <c r="W205" i="2"/>
  <c r="V205" i="2"/>
  <c r="U205" i="2"/>
  <c r="T205" i="2"/>
  <c r="S205" i="2"/>
  <c r="R205" i="2"/>
  <c r="Q205" i="2"/>
  <c r="K205" i="2"/>
  <c r="J205" i="2"/>
  <c r="I205" i="2"/>
  <c r="H205" i="2"/>
  <c r="T204" i="2"/>
  <c r="T203" i="2" s="1"/>
  <c r="O204" i="2"/>
  <c r="J204" i="2"/>
  <c r="J203" i="2" s="1"/>
  <c r="H204" i="2"/>
  <c r="H203" i="2" s="1"/>
  <c r="Y203" i="2"/>
  <c r="X203" i="2"/>
  <c r="W203" i="2"/>
  <c r="V203" i="2"/>
  <c r="U203" i="2"/>
  <c r="S203" i="2"/>
  <c r="R203" i="2"/>
  <c r="Q203" i="2"/>
  <c r="P203" i="2"/>
  <c r="O203" i="2"/>
  <c r="K203" i="2"/>
  <c r="I203" i="2"/>
  <c r="O201" i="2"/>
  <c r="O200" i="2" s="1"/>
  <c r="Y200" i="2"/>
  <c r="X200" i="2"/>
  <c r="W200" i="2"/>
  <c r="V200" i="2"/>
  <c r="U200" i="2"/>
  <c r="T200" i="2"/>
  <c r="S200" i="2"/>
  <c r="R200" i="2"/>
  <c r="Q200" i="2"/>
  <c r="P200" i="2"/>
  <c r="K200" i="2"/>
  <c r="J200" i="2"/>
  <c r="T199" i="2"/>
  <c r="T198" i="2" s="1"/>
  <c r="Y198" i="2"/>
  <c r="S198" i="2"/>
  <c r="R198" i="2"/>
  <c r="Q198" i="2"/>
  <c r="P198" i="2"/>
  <c r="O198" i="2"/>
  <c r="Y196" i="2"/>
  <c r="X196" i="2"/>
  <c r="W196" i="2"/>
  <c r="V196" i="2"/>
  <c r="U196" i="2"/>
  <c r="T196" i="2"/>
  <c r="S196" i="2"/>
  <c r="R196" i="2"/>
  <c r="Q196" i="2"/>
  <c r="P196" i="2"/>
  <c r="O196" i="2"/>
  <c r="K196" i="2"/>
  <c r="J196" i="2"/>
  <c r="I196" i="2"/>
  <c r="I195" i="2" s="1"/>
  <c r="H196" i="2"/>
  <c r="H195" i="2" s="1"/>
  <c r="Y193" i="2"/>
  <c r="X193" i="2"/>
  <c r="W193" i="2"/>
  <c r="V193" i="2"/>
  <c r="U193" i="2"/>
  <c r="S193" i="2"/>
  <c r="R193" i="2"/>
  <c r="Q193" i="2"/>
  <c r="P193" i="2"/>
  <c r="O193" i="2"/>
  <c r="K193" i="2"/>
  <c r="J193" i="2"/>
  <c r="I193" i="2"/>
  <c r="H193" i="2"/>
  <c r="N190" i="2"/>
  <c r="M190" i="2"/>
  <c r="L190" i="2"/>
  <c r="T188" i="2"/>
  <c r="T187" i="2" s="1"/>
  <c r="T186" i="2" s="1"/>
  <c r="T185" i="2" s="1"/>
  <c r="S187" i="2"/>
  <c r="S186" i="2" s="1"/>
  <c r="S185" i="2" s="1"/>
  <c r="R187" i="2"/>
  <c r="R186" i="2" s="1"/>
  <c r="R185" i="2" s="1"/>
  <c r="Q187" i="2"/>
  <c r="Q186" i="2" s="1"/>
  <c r="Q185" i="2" s="1"/>
  <c r="P187" i="2"/>
  <c r="P186" i="2" s="1"/>
  <c r="P185" i="2" s="1"/>
  <c r="O187" i="2"/>
  <c r="O186" i="2" s="1"/>
  <c r="O185" i="2" s="1"/>
  <c r="Y182" i="2"/>
  <c r="Y181" i="2" s="1"/>
  <c r="O183" i="2"/>
  <c r="O182" i="2" s="1"/>
  <c r="O181" i="2" s="1"/>
  <c r="X182" i="2"/>
  <c r="X181" i="2" s="1"/>
  <c r="W182" i="2"/>
  <c r="W181" i="2" s="1"/>
  <c r="V182" i="2"/>
  <c r="V181" i="2" s="1"/>
  <c r="U182" i="2"/>
  <c r="U181" i="2" s="1"/>
  <c r="T182" i="2"/>
  <c r="T181" i="2" s="1"/>
  <c r="S182" i="2"/>
  <c r="S181" i="2" s="1"/>
  <c r="R182" i="2"/>
  <c r="R181" i="2" s="1"/>
  <c r="Q182" i="2"/>
  <c r="Q181" i="2" s="1"/>
  <c r="P182" i="2"/>
  <c r="P181" i="2" s="1"/>
  <c r="K182" i="2"/>
  <c r="K181" i="2" s="1"/>
  <c r="K176" i="2" s="1"/>
  <c r="J182" i="2"/>
  <c r="J181" i="2" s="1"/>
  <c r="T180" i="2"/>
  <c r="Y179" i="2" s="1"/>
  <c r="Y178" i="2" s="1"/>
  <c r="Y177" i="2" s="1"/>
  <c r="X179" i="2"/>
  <c r="X177" i="2" s="1"/>
  <c r="W179" i="2"/>
  <c r="W177" i="2" s="1"/>
  <c r="V179" i="2"/>
  <c r="V177" i="2" s="1"/>
  <c r="U179" i="2"/>
  <c r="U177" i="2" s="1"/>
  <c r="S179" i="2"/>
  <c r="S177" i="2" s="1"/>
  <c r="R179" i="2"/>
  <c r="R177" i="2" s="1"/>
  <c r="Q179" i="2"/>
  <c r="Q177" i="2" s="1"/>
  <c r="P179" i="2"/>
  <c r="P177" i="2" s="1"/>
  <c r="O179" i="2"/>
  <c r="O177" i="2" s="1"/>
  <c r="T175" i="2"/>
  <c r="Y174" i="2" s="1"/>
  <c r="Y173" i="2" s="1"/>
  <c r="Y172" i="2" s="1"/>
  <c r="X174" i="2"/>
  <c r="X173" i="2" s="1"/>
  <c r="X172" i="2" s="1"/>
  <c r="W174" i="2"/>
  <c r="W173" i="2" s="1"/>
  <c r="W172" i="2" s="1"/>
  <c r="V174" i="2"/>
  <c r="V173" i="2" s="1"/>
  <c r="V172" i="2" s="1"/>
  <c r="U174" i="2"/>
  <c r="U173" i="2" s="1"/>
  <c r="U172" i="2" s="1"/>
  <c r="S174" i="2"/>
  <c r="S173" i="2" s="1"/>
  <c r="S172" i="2" s="1"/>
  <c r="R174" i="2"/>
  <c r="R173" i="2" s="1"/>
  <c r="R172" i="2" s="1"/>
  <c r="Q174" i="2"/>
  <c r="Q173" i="2" s="1"/>
  <c r="Q172" i="2" s="1"/>
  <c r="P174" i="2"/>
  <c r="P173" i="2" s="1"/>
  <c r="P172" i="2" s="1"/>
  <c r="O174" i="2"/>
  <c r="O173" i="2" s="1"/>
  <c r="O172" i="2" s="1"/>
  <c r="K174" i="2"/>
  <c r="K172" i="2" s="1"/>
  <c r="Y171" i="2"/>
  <c r="Y170" i="2" s="1"/>
  <c r="X170" i="2"/>
  <c r="W170" i="2"/>
  <c r="V170" i="2"/>
  <c r="U170" i="2"/>
  <c r="T170" i="2"/>
  <c r="S170" i="2"/>
  <c r="R170" i="2"/>
  <c r="Q170" i="2"/>
  <c r="P170" i="2"/>
  <c r="O170" i="2"/>
  <c r="K170" i="2"/>
  <c r="K167" i="2" s="1"/>
  <c r="K166" i="2" s="1"/>
  <c r="K165" i="2" s="1"/>
  <c r="K164" i="2" s="1"/>
  <c r="J170" i="2"/>
  <c r="J167" i="2" s="1"/>
  <c r="J166" i="2" s="1"/>
  <c r="J165" i="2" s="1"/>
  <c r="I170" i="2"/>
  <c r="I167" i="2" s="1"/>
  <c r="I166" i="2" s="1"/>
  <c r="I165" i="2" s="1"/>
  <c r="I164" i="2" s="1"/>
  <c r="I163" i="2" s="1"/>
  <c r="H170" i="2"/>
  <c r="H167" i="2" s="1"/>
  <c r="H166" i="2" s="1"/>
  <c r="H165" i="2" s="1"/>
  <c r="H164" i="2" s="1"/>
  <c r="H163" i="2" s="1"/>
  <c r="Y169" i="2"/>
  <c r="Y168" i="2" s="1"/>
  <c r="X168" i="2"/>
  <c r="W168" i="2"/>
  <c r="V168" i="2"/>
  <c r="U168" i="2"/>
  <c r="T168" i="2"/>
  <c r="S168" i="2"/>
  <c r="R168" i="2"/>
  <c r="Q168" i="2"/>
  <c r="P168" i="2"/>
  <c r="O168" i="2"/>
  <c r="K168" i="2"/>
  <c r="J168" i="2"/>
  <c r="I168" i="2"/>
  <c r="H168" i="2"/>
  <c r="Y161" i="2"/>
  <c r="T162" i="2"/>
  <c r="T161" i="2" s="1"/>
  <c r="O162" i="2"/>
  <c r="O161" i="2" s="1"/>
  <c r="X161" i="2"/>
  <c r="W161" i="2"/>
  <c r="V161" i="2"/>
  <c r="U161" i="2"/>
  <c r="S161" i="2"/>
  <c r="R161" i="2"/>
  <c r="Q161" i="2"/>
  <c r="P161" i="2"/>
  <c r="Y159" i="2"/>
  <c r="X159" i="2"/>
  <c r="W159" i="2"/>
  <c r="V159" i="2"/>
  <c r="U159" i="2"/>
  <c r="T159" i="2"/>
  <c r="S159" i="2"/>
  <c r="R159" i="2"/>
  <c r="Q159" i="2"/>
  <c r="P159" i="2"/>
  <c r="O159" i="2"/>
  <c r="K159" i="2"/>
  <c r="K158" i="2" s="1"/>
  <c r="K157" i="2" s="1"/>
  <c r="J159" i="2"/>
  <c r="J158" i="2" s="1"/>
  <c r="J157" i="2" s="1"/>
  <c r="H159" i="2"/>
  <c r="H158" i="2" s="1"/>
  <c r="H157" i="2" s="1"/>
  <c r="Y155" i="2"/>
  <c r="Y154" i="2" s="1"/>
  <c r="Y153" i="2" s="1"/>
  <c r="O156" i="2"/>
  <c r="H156" i="2"/>
  <c r="H155" i="2" s="1"/>
  <c r="H154" i="2" s="1"/>
  <c r="H153" i="2" s="1"/>
  <c r="X155" i="2"/>
  <c r="X154" i="2" s="1"/>
  <c r="X153" i="2" s="1"/>
  <c r="W155" i="2"/>
  <c r="W154" i="2" s="1"/>
  <c r="W153" i="2" s="1"/>
  <c r="V155" i="2"/>
  <c r="V154" i="2" s="1"/>
  <c r="V153" i="2" s="1"/>
  <c r="U155" i="2"/>
  <c r="U154" i="2" s="1"/>
  <c r="U153" i="2" s="1"/>
  <c r="T155" i="2"/>
  <c r="T154" i="2" s="1"/>
  <c r="T153" i="2" s="1"/>
  <c r="S155" i="2"/>
  <c r="S154" i="2" s="1"/>
  <c r="S153" i="2" s="1"/>
  <c r="R155" i="2"/>
  <c r="R154" i="2" s="1"/>
  <c r="R153" i="2" s="1"/>
  <c r="Q155" i="2"/>
  <c r="Q154" i="2" s="1"/>
  <c r="Q153" i="2" s="1"/>
  <c r="P155" i="2"/>
  <c r="P154" i="2" s="1"/>
  <c r="P153" i="2" s="1"/>
  <c r="O155" i="2"/>
  <c r="O154" i="2" s="1"/>
  <c r="O153" i="2" s="1"/>
  <c r="K155" i="2"/>
  <c r="K154" i="2" s="1"/>
  <c r="K153" i="2" s="1"/>
  <c r="J155" i="2"/>
  <c r="J154" i="2" s="1"/>
  <c r="J153" i="2" s="1"/>
  <c r="I155" i="2"/>
  <c r="I154" i="2" s="1"/>
  <c r="I153" i="2" s="1"/>
  <c r="X151" i="2"/>
  <c r="X150" i="2" s="1"/>
  <c r="W151" i="2"/>
  <c r="W150" i="2" s="1"/>
  <c r="V151" i="2"/>
  <c r="V150" i="2" s="1"/>
  <c r="U151" i="2"/>
  <c r="U150" i="2" s="1"/>
  <c r="T151" i="2"/>
  <c r="S151" i="2"/>
  <c r="S150" i="2" s="1"/>
  <c r="R151" i="2"/>
  <c r="R150" i="2" s="1"/>
  <c r="Q151" i="2"/>
  <c r="Q150" i="2" s="1"/>
  <c r="P151" i="2"/>
  <c r="P150" i="2" s="1"/>
  <c r="O151" i="2"/>
  <c r="O150" i="2" s="1"/>
  <c r="K151" i="2"/>
  <c r="K150" i="2" s="1"/>
  <c r="J149" i="2"/>
  <c r="J148" i="2"/>
  <c r="T147" i="2"/>
  <c r="J147" i="2"/>
  <c r="J146" i="2" s="1"/>
  <c r="J145" i="2" s="1"/>
  <c r="J144" i="2" s="1"/>
  <c r="J143" i="2" s="1"/>
  <c r="J142" i="2" s="1"/>
  <c r="X146" i="2"/>
  <c r="X145" i="2" s="1"/>
  <c r="X144" i="2" s="1"/>
  <c r="X143" i="2" s="1"/>
  <c r="W146" i="2"/>
  <c r="W145" i="2" s="1"/>
  <c r="W144" i="2" s="1"/>
  <c r="W143" i="2" s="1"/>
  <c r="V146" i="2"/>
  <c r="V145" i="2" s="1"/>
  <c r="V144" i="2" s="1"/>
  <c r="V143" i="2" s="1"/>
  <c r="U146" i="2"/>
  <c r="U145" i="2" s="1"/>
  <c r="U144" i="2" s="1"/>
  <c r="U143" i="2" s="1"/>
  <c r="T146" i="2"/>
  <c r="T145" i="2" s="1"/>
  <c r="T144" i="2" s="1"/>
  <c r="T143" i="2" s="1"/>
  <c r="S146" i="2"/>
  <c r="S145" i="2" s="1"/>
  <c r="S144" i="2" s="1"/>
  <c r="S143" i="2" s="1"/>
  <c r="R146" i="2"/>
  <c r="R145" i="2" s="1"/>
  <c r="R144" i="2" s="1"/>
  <c r="R143" i="2" s="1"/>
  <c r="Q146" i="2"/>
  <c r="Q145" i="2" s="1"/>
  <c r="Q144" i="2" s="1"/>
  <c r="Q143" i="2" s="1"/>
  <c r="P146" i="2"/>
  <c r="P145" i="2" s="1"/>
  <c r="P144" i="2" s="1"/>
  <c r="P143" i="2" s="1"/>
  <c r="O146" i="2"/>
  <c r="O145" i="2" s="1"/>
  <c r="O144" i="2" s="1"/>
  <c r="O143" i="2" s="1"/>
  <c r="K146" i="2"/>
  <c r="K145" i="2" s="1"/>
  <c r="K144" i="2" s="1"/>
  <c r="K143" i="2" s="1"/>
  <c r="I146" i="2"/>
  <c r="I145" i="2" s="1"/>
  <c r="I144" i="2" s="1"/>
  <c r="I143" i="2" s="1"/>
  <c r="I142" i="2" s="1"/>
  <c r="H146" i="2"/>
  <c r="H145" i="2" s="1"/>
  <c r="H144" i="2" s="1"/>
  <c r="H143" i="2" s="1"/>
  <c r="H142" i="2" s="1"/>
  <c r="Y139" i="2"/>
  <c r="Y138" i="2" s="1"/>
  <c r="Y137" i="2" s="1"/>
  <c r="X139" i="2"/>
  <c r="T139" i="2"/>
  <c r="X138" i="2"/>
  <c r="X137" i="2" s="1"/>
  <c r="T138" i="2"/>
  <c r="T137" i="2" s="1"/>
  <c r="W137" i="2"/>
  <c r="V137" i="2"/>
  <c r="U137" i="2"/>
  <c r="Y136" i="2"/>
  <c r="Y135" i="2" s="1"/>
  <c r="X135" i="2"/>
  <c r="W135" i="2"/>
  <c r="V135" i="2"/>
  <c r="U135" i="2"/>
  <c r="T135" i="2"/>
  <c r="Y134" i="2"/>
  <c r="T133" i="2"/>
  <c r="J133" i="2"/>
  <c r="J131" i="2" s="1"/>
  <c r="J130" i="2" s="1"/>
  <c r="J132" i="2"/>
  <c r="X131" i="2"/>
  <c r="X130" i="2" s="1"/>
  <c r="W131" i="2"/>
  <c r="W130" i="2" s="1"/>
  <c r="V131" i="2"/>
  <c r="V130" i="2" s="1"/>
  <c r="U131" i="2"/>
  <c r="U130" i="2" s="1"/>
  <c r="T131" i="2"/>
  <c r="T130" i="2" s="1"/>
  <c r="S131" i="2"/>
  <c r="S130" i="2" s="1"/>
  <c r="R131" i="2"/>
  <c r="R130" i="2" s="1"/>
  <c r="Q131" i="2"/>
  <c r="Q130" i="2" s="1"/>
  <c r="P131" i="2"/>
  <c r="P130" i="2" s="1"/>
  <c r="O131" i="2"/>
  <c r="O130" i="2" s="1"/>
  <c r="K131" i="2"/>
  <c r="K130" i="2" s="1"/>
  <c r="I131" i="2"/>
  <c r="I130" i="2" s="1"/>
  <c r="H131" i="2"/>
  <c r="H130" i="2" s="1"/>
  <c r="Y129" i="2"/>
  <c r="Y126" i="2" s="1"/>
  <c r="Y125" i="2" s="1"/>
  <c r="O128" i="2"/>
  <c r="J128" i="2"/>
  <c r="J127" i="2"/>
  <c r="X126" i="2"/>
  <c r="X125" i="2" s="1"/>
  <c r="W126" i="2"/>
  <c r="W125" i="2" s="1"/>
  <c r="V126" i="2"/>
  <c r="V125" i="2" s="1"/>
  <c r="U126" i="2"/>
  <c r="U125" i="2" s="1"/>
  <c r="T126" i="2"/>
  <c r="T125" i="2" s="1"/>
  <c r="S126" i="2"/>
  <c r="S125" i="2" s="1"/>
  <c r="R126" i="2"/>
  <c r="R125" i="2" s="1"/>
  <c r="Q126" i="2"/>
  <c r="Q125" i="2" s="1"/>
  <c r="P126" i="2"/>
  <c r="P125" i="2" s="1"/>
  <c r="O126" i="2"/>
  <c r="O125" i="2" s="1"/>
  <c r="K126" i="2"/>
  <c r="K125" i="2" s="1"/>
  <c r="J126" i="2"/>
  <c r="J125" i="2" s="1"/>
  <c r="I126" i="2"/>
  <c r="I125" i="2" s="1"/>
  <c r="H126" i="2"/>
  <c r="H125" i="2" s="1"/>
  <c r="T124" i="2"/>
  <c r="T123" i="2" s="1"/>
  <c r="T122" i="2" s="1"/>
  <c r="X123" i="2"/>
  <c r="X122" i="2" s="1"/>
  <c r="W123" i="2"/>
  <c r="W122" i="2" s="1"/>
  <c r="V123" i="2"/>
  <c r="V122" i="2" s="1"/>
  <c r="U123" i="2"/>
  <c r="U122" i="2" s="1"/>
  <c r="S123" i="2"/>
  <c r="S122" i="2" s="1"/>
  <c r="R123" i="2"/>
  <c r="R122" i="2" s="1"/>
  <c r="Q123" i="2"/>
  <c r="Q122" i="2" s="1"/>
  <c r="P123" i="2"/>
  <c r="P122" i="2" s="1"/>
  <c r="O123" i="2"/>
  <c r="O122" i="2" s="1"/>
  <c r="K123" i="2"/>
  <c r="K122" i="2" s="1"/>
  <c r="Y121" i="2"/>
  <c r="Y118" i="2" s="1"/>
  <c r="Y117" i="2" s="1"/>
  <c r="J120" i="2"/>
  <c r="J119" i="2"/>
  <c r="X118" i="2"/>
  <c r="X117" i="2" s="1"/>
  <c r="W118" i="2"/>
  <c r="W117" i="2" s="1"/>
  <c r="V118" i="2"/>
  <c r="V117" i="2" s="1"/>
  <c r="U118" i="2"/>
  <c r="U117" i="2" s="1"/>
  <c r="T118" i="2"/>
  <c r="T117" i="2" s="1"/>
  <c r="S118" i="2"/>
  <c r="R118" i="2"/>
  <c r="R117" i="2" s="1"/>
  <c r="Q118" i="2"/>
  <c r="Q117" i="2" s="1"/>
  <c r="P118" i="2"/>
  <c r="P117" i="2" s="1"/>
  <c r="O118" i="2"/>
  <c r="O117" i="2" s="1"/>
  <c r="K118" i="2"/>
  <c r="K117" i="2" s="1"/>
  <c r="I118" i="2"/>
  <c r="I117" i="2" s="1"/>
  <c r="H118" i="2"/>
  <c r="H117" i="2" s="1"/>
  <c r="S117" i="2"/>
  <c r="Y112" i="2"/>
  <c r="Y111" i="2" s="1"/>
  <c r="X112" i="2"/>
  <c r="X111" i="2" s="1"/>
  <c r="W112" i="2"/>
  <c r="W111" i="2" s="1"/>
  <c r="V112" i="2"/>
  <c r="V111" i="2" s="1"/>
  <c r="U112" i="2"/>
  <c r="U111" i="2" s="1"/>
  <c r="T112" i="2"/>
  <c r="T111" i="2" s="1"/>
  <c r="S112" i="2"/>
  <c r="S111" i="2" s="1"/>
  <c r="R112" i="2"/>
  <c r="Q112" i="2"/>
  <c r="Q111" i="2" s="1"/>
  <c r="P112" i="2"/>
  <c r="P111" i="2" s="1"/>
  <c r="O112" i="2"/>
  <c r="O111" i="2" s="1"/>
  <c r="K112" i="2"/>
  <c r="K111" i="2" s="1"/>
  <c r="J112" i="2"/>
  <c r="J111" i="2" s="1"/>
  <c r="I112" i="2"/>
  <c r="I111" i="2" s="1"/>
  <c r="H112" i="2"/>
  <c r="H111" i="2" s="1"/>
  <c r="R111" i="2"/>
  <c r="Y110" i="2"/>
  <c r="Y109" i="2" s="1"/>
  <c r="Y108" i="2" s="1"/>
  <c r="J110" i="2"/>
  <c r="H110" i="2"/>
  <c r="H109" i="2" s="1"/>
  <c r="H108" i="2" s="1"/>
  <c r="X109" i="2"/>
  <c r="X108" i="2" s="1"/>
  <c r="W109" i="2"/>
  <c r="W108" i="2" s="1"/>
  <c r="V109" i="2"/>
  <c r="V108" i="2" s="1"/>
  <c r="U109" i="2"/>
  <c r="U108" i="2" s="1"/>
  <c r="T109" i="2"/>
  <c r="T108" i="2" s="1"/>
  <c r="S109" i="2"/>
  <c r="S108" i="2" s="1"/>
  <c r="R109" i="2"/>
  <c r="R108" i="2" s="1"/>
  <c r="Q109" i="2"/>
  <c r="Q108" i="2" s="1"/>
  <c r="P109" i="2"/>
  <c r="P108" i="2" s="1"/>
  <c r="O109" i="2"/>
  <c r="O108" i="2" s="1"/>
  <c r="K109" i="2"/>
  <c r="K108" i="2" s="1"/>
  <c r="J109" i="2"/>
  <c r="J108" i="2" s="1"/>
  <c r="I109" i="2"/>
  <c r="I108" i="2" s="1"/>
  <c r="Y107" i="2"/>
  <c r="Y106" i="2" s="1"/>
  <c r="Y105" i="2" s="1"/>
  <c r="X106" i="2"/>
  <c r="X105" i="2" s="1"/>
  <c r="W106" i="2"/>
  <c r="W105" i="2" s="1"/>
  <c r="V106" i="2"/>
  <c r="V105" i="2" s="1"/>
  <c r="U106" i="2"/>
  <c r="U105" i="2" s="1"/>
  <c r="T106" i="2"/>
  <c r="T105" i="2" s="1"/>
  <c r="P106" i="2"/>
  <c r="O106" i="2"/>
  <c r="Y104" i="2"/>
  <c r="Y103" i="2" s="1"/>
  <c r="X103" i="2"/>
  <c r="W103" i="2"/>
  <c r="V103" i="2"/>
  <c r="U103" i="2"/>
  <c r="T103" i="2"/>
  <c r="P103" i="2"/>
  <c r="O103" i="2"/>
  <c r="T102" i="2"/>
  <c r="Y102" i="2" s="1"/>
  <c r="X101" i="2"/>
  <c r="W101" i="2"/>
  <c r="V101" i="2"/>
  <c r="U101" i="2"/>
  <c r="S101" i="2"/>
  <c r="R101" i="2"/>
  <c r="Q101" i="2"/>
  <c r="P101" i="2"/>
  <c r="O101" i="2"/>
  <c r="K101" i="2"/>
  <c r="Y100" i="2"/>
  <c r="Y99" i="2" s="1"/>
  <c r="H100" i="2"/>
  <c r="H99" i="2" s="1"/>
  <c r="X99" i="2"/>
  <c r="W99" i="2"/>
  <c r="V99" i="2"/>
  <c r="U99" i="2"/>
  <c r="T99" i="2"/>
  <c r="S99" i="2"/>
  <c r="R99" i="2"/>
  <c r="Q99" i="2"/>
  <c r="P99" i="2"/>
  <c r="O99" i="2"/>
  <c r="K99" i="2"/>
  <c r="J99" i="2"/>
  <c r="I99" i="2"/>
  <c r="Y96" i="2"/>
  <c r="Y95" i="2" s="1"/>
  <c r="X96" i="2"/>
  <c r="X95" i="2" s="1"/>
  <c r="W96" i="2"/>
  <c r="W95" i="2" s="1"/>
  <c r="V96" i="2"/>
  <c r="V95" i="2" s="1"/>
  <c r="U96" i="2"/>
  <c r="U95" i="2" s="1"/>
  <c r="T96" i="2"/>
  <c r="T95" i="2" s="1"/>
  <c r="S96" i="2"/>
  <c r="S95" i="2" s="1"/>
  <c r="R96" i="2"/>
  <c r="R95" i="2" s="1"/>
  <c r="Q96" i="2"/>
  <c r="Q95" i="2" s="1"/>
  <c r="P96" i="2"/>
  <c r="P95" i="2" s="1"/>
  <c r="O96" i="2"/>
  <c r="O95" i="2" s="1"/>
  <c r="K96" i="2"/>
  <c r="K95" i="2" s="1"/>
  <c r="J96" i="2"/>
  <c r="J95" i="2" s="1"/>
  <c r="I96" i="2"/>
  <c r="I95" i="2" s="1"/>
  <c r="H96" i="2"/>
  <c r="H95" i="2" s="1"/>
  <c r="Y94" i="2"/>
  <c r="Y93" i="2" s="1"/>
  <c r="P94" i="2"/>
  <c r="P93" i="2" s="1"/>
  <c r="O94" i="2"/>
  <c r="X93" i="2"/>
  <c r="W93" i="2"/>
  <c r="V93" i="2"/>
  <c r="U93" i="2"/>
  <c r="T93" i="2"/>
  <c r="S93" i="2"/>
  <c r="R93" i="2"/>
  <c r="Q93" i="2"/>
  <c r="O93" i="2"/>
  <c r="K93" i="2"/>
  <c r="J93" i="2"/>
  <c r="I93" i="2"/>
  <c r="H93" i="2"/>
  <c r="T92" i="2"/>
  <c r="O92" i="2"/>
  <c r="J92" i="2"/>
  <c r="H92" i="2"/>
  <c r="H91" i="2" s="1"/>
  <c r="Y91" i="2"/>
  <c r="X91" i="2"/>
  <c r="W91" i="2"/>
  <c r="V91" i="2"/>
  <c r="U91" i="2"/>
  <c r="T91" i="2"/>
  <c r="S91" i="2"/>
  <c r="R91" i="2"/>
  <c r="Q91" i="2"/>
  <c r="P91" i="2"/>
  <c r="O91" i="2"/>
  <c r="K91" i="2"/>
  <c r="J91" i="2"/>
  <c r="I91" i="2"/>
  <c r="Y88" i="2"/>
  <c r="X88" i="2"/>
  <c r="W88" i="2"/>
  <c r="V88" i="2"/>
  <c r="U88" i="2"/>
  <c r="T88" i="2"/>
  <c r="S88" i="2"/>
  <c r="R88" i="2"/>
  <c r="Q88" i="2"/>
  <c r="P88" i="2"/>
  <c r="O88" i="2"/>
  <c r="Y87" i="2"/>
  <c r="Y86" i="2" s="1"/>
  <c r="X86" i="2"/>
  <c r="W86" i="2"/>
  <c r="V86" i="2"/>
  <c r="U86" i="2"/>
  <c r="T86" i="2"/>
  <c r="S85" i="2"/>
  <c r="R85" i="2"/>
  <c r="Q85" i="2"/>
  <c r="P85" i="2"/>
  <c r="O85" i="2"/>
  <c r="K85" i="2"/>
  <c r="J85" i="2"/>
  <c r="I85" i="2"/>
  <c r="H85" i="2"/>
  <c r="Y83" i="2"/>
  <c r="Y82" i="2" s="1"/>
  <c r="Y81" i="2" s="1"/>
  <c r="X82" i="2"/>
  <c r="W82" i="2"/>
  <c r="V82" i="2"/>
  <c r="U82" i="2"/>
  <c r="T82" i="2"/>
  <c r="P82" i="2"/>
  <c r="O82" i="2"/>
  <c r="Y80" i="2"/>
  <c r="Y79" i="2" s="1"/>
  <c r="X79" i="2"/>
  <c r="W79" i="2"/>
  <c r="V79" i="2"/>
  <c r="U79" i="2"/>
  <c r="T79" i="2"/>
  <c r="S79" i="2"/>
  <c r="R79" i="2"/>
  <c r="Q79" i="2"/>
  <c r="P79" i="2"/>
  <c r="O79" i="2"/>
  <c r="K79" i="2"/>
  <c r="Y78" i="2"/>
  <c r="Y77" i="2" s="1"/>
  <c r="X77" i="2"/>
  <c r="W77" i="2"/>
  <c r="V77" i="2"/>
  <c r="U77" i="2"/>
  <c r="T77" i="2"/>
  <c r="S77" i="2"/>
  <c r="R77" i="2"/>
  <c r="Q77" i="2"/>
  <c r="P77" i="2"/>
  <c r="O77" i="2"/>
  <c r="K77" i="2"/>
  <c r="J77" i="2"/>
  <c r="O75" i="2"/>
  <c r="T75" i="2" s="1"/>
  <c r="T74" i="2" s="1"/>
  <c r="T73" i="2" s="1"/>
  <c r="Y74" i="2"/>
  <c r="Y73" i="2" s="1"/>
  <c r="X74" i="2"/>
  <c r="X73" i="2" s="1"/>
  <c r="S74" i="2"/>
  <c r="R74" i="2"/>
  <c r="Q74" i="2"/>
  <c r="P74" i="2"/>
  <c r="K74" i="2"/>
  <c r="K73" i="2" s="1"/>
  <c r="J74" i="2"/>
  <c r="J73" i="2" s="1"/>
  <c r="I74" i="2"/>
  <c r="I73" i="2" s="1"/>
  <c r="H74" i="2"/>
  <c r="H73" i="2" s="1"/>
  <c r="Y71" i="2"/>
  <c r="Y70" i="2" s="1"/>
  <c r="X71" i="2"/>
  <c r="X70" i="2" s="1"/>
  <c r="W71" i="2"/>
  <c r="W70" i="2" s="1"/>
  <c r="V71" i="2"/>
  <c r="V70" i="2" s="1"/>
  <c r="U71" i="2"/>
  <c r="U70" i="2" s="1"/>
  <c r="T71" i="2"/>
  <c r="T70" i="2" s="1"/>
  <c r="S71" i="2"/>
  <c r="S70" i="2" s="1"/>
  <c r="R71" i="2"/>
  <c r="R70" i="2" s="1"/>
  <c r="Q71" i="2"/>
  <c r="Q70" i="2" s="1"/>
  <c r="P71" i="2"/>
  <c r="P70" i="2" s="1"/>
  <c r="O71" i="2"/>
  <c r="O70" i="2" s="1"/>
  <c r="K71" i="2"/>
  <c r="K70" i="2" s="1"/>
  <c r="J71" i="2"/>
  <c r="J70" i="2" s="1"/>
  <c r="I71" i="2"/>
  <c r="I70" i="2" s="1"/>
  <c r="H71" i="2"/>
  <c r="H70" i="2" s="1"/>
  <c r="Y69" i="2"/>
  <c r="Y68" i="2" s="1"/>
  <c r="P69" i="2"/>
  <c r="P68" i="2" s="1"/>
  <c r="O69" i="2"/>
  <c r="X68" i="2"/>
  <c r="W68" i="2"/>
  <c r="V68" i="2"/>
  <c r="U68" i="2"/>
  <c r="T68" i="2"/>
  <c r="S68" i="2"/>
  <c r="R68" i="2"/>
  <c r="Q68" i="2"/>
  <c r="O68" i="2"/>
  <c r="K68" i="2"/>
  <c r="J68" i="2"/>
  <c r="I68" i="2"/>
  <c r="H68" i="2"/>
  <c r="T67" i="2"/>
  <c r="O67" i="2"/>
  <c r="J67" i="2"/>
  <c r="H67" i="2"/>
  <c r="H66" i="2" s="1"/>
  <c r="X66" i="2"/>
  <c r="W66" i="2"/>
  <c r="V66" i="2"/>
  <c r="U66" i="2"/>
  <c r="S66" i="2"/>
  <c r="S65" i="2" s="1"/>
  <c r="R66" i="2"/>
  <c r="R65" i="2" s="1"/>
  <c r="Q66" i="2"/>
  <c r="Q65" i="2" s="1"/>
  <c r="P66" i="2"/>
  <c r="O66" i="2"/>
  <c r="K66" i="2"/>
  <c r="J66" i="2"/>
  <c r="I66" i="2"/>
  <c r="Y63" i="2"/>
  <c r="X63" i="2"/>
  <c r="W63" i="2"/>
  <c r="V63" i="2"/>
  <c r="U63" i="2"/>
  <c r="T63" i="2"/>
  <c r="S63" i="2"/>
  <c r="R63" i="2"/>
  <c r="P63" i="2"/>
  <c r="O63" i="2"/>
  <c r="T62" i="2"/>
  <c r="T61" i="2" s="1"/>
  <c r="S61" i="2"/>
  <c r="R61" i="2"/>
  <c r="Q61" i="2"/>
  <c r="P61" i="2"/>
  <c r="O61" i="2"/>
  <c r="K61" i="2"/>
  <c r="J61" i="2"/>
  <c r="I61" i="2"/>
  <c r="H61" i="2"/>
  <c r="Y59" i="2"/>
  <c r="Y58" i="2" s="1"/>
  <c r="X58" i="2"/>
  <c r="W58" i="2"/>
  <c r="V58" i="2"/>
  <c r="U58" i="2"/>
  <c r="T58" i="2"/>
  <c r="P58" i="2"/>
  <c r="O58" i="2"/>
  <c r="Y57" i="2"/>
  <c r="Y56" i="2" s="1"/>
  <c r="X56" i="2"/>
  <c r="W56" i="2"/>
  <c r="W55" i="2" s="1"/>
  <c r="V56" i="2"/>
  <c r="V55" i="2" s="1"/>
  <c r="U56" i="2"/>
  <c r="T56" i="2"/>
  <c r="T55" i="2" s="1"/>
  <c r="S56" i="2"/>
  <c r="R56" i="2"/>
  <c r="Q56" i="2"/>
  <c r="P56" i="2"/>
  <c r="O56" i="2"/>
  <c r="K56" i="2"/>
  <c r="J56" i="2"/>
  <c r="T54" i="2"/>
  <c r="T53" i="2" s="1"/>
  <c r="T52" i="2" s="1"/>
  <c r="Y53" i="2"/>
  <c r="Y52" i="2" s="1"/>
  <c r="X53" i="2"/>
  <c r="X52" i="2" s="1"/>
  <c r="W53" i="2"/>
  <c r="W52" i="2" s="1"/>
  <c r="V53" i="2"/>
  <c r="V52" i="2" s="1"/>
  <c r="U53" i="2"/>
  <c r="U52" i="2" s="1"/>
  <c r="S53" i="2"/>
  <c r="R53" i="2"/>
  <c r="Q53" i="2"/>
  <c r="P53" i="2"/>
  <c r="O53" i="2"/>
  <c r="K53" i="2"/>
  <c r="Y51" i="2"/>
  <c r="Y50" i="2" s="1"/>
  <c r="X50" i="2"/>
  <c r="W50" i="2"/>
  <c r="V50" i="2"/>
  <c r="U50" i="2"/>
  <c r="T50" i="2"/>
  <c r="S50" i="2"/>
  <c r="R50" i="2"/>
  <c r="Q50" i="2"/>
  <c r="P50" i="2"/>
  <c r="O50" i="2"/>
  <c r="J49" i="2"/>
  <c r="O49" i="2" s="1"/>
  <c r="T49" i="2" s="1"/>
  <c r="K48" i="2"/>
  <c r="K46" i="2" s="1"/>
  <c r="I48" i="2"/>
  <c r="I46" i="2" s="1"/>
  <c r="H48" i="2"/>
  <c r="H46" i="2" s="1"/>
  <c r="T47" i="2"/>
  <c r="Y44" i="2"/>
  <c r="Y43" i="2" s="1"/>
  <c r="X44" i="2"/>
  <c r="X43" i="2" s="1"/>
  <c r="W44" i="2"/>
  <c r="W43" i="2" s="1"/>
  <c r="V44" i="2"/>
  <c r="V43" i="2" s="1"/>
  <c r="U44" i="2"/>
  <c r="U43" i="2" s="1"/>
  <c r="T44" i="2"/>
  <c r="T43" i="2" s="1"/>
  <c r="S44" i="2"/>
  <c r="S43" i="2" s="1"/>
  <c r="R44" i="2"/>
  <c r="R43" i="2" s="1"/>
  <c r="Q44" i="2"/>
  <c r="Q43" i="2" s="1"/>
  <c r="P44" i="2"/>
  <c r="P43" i="2" s="1"/>
  <c r="O44" i="2"/>
  <c r="O43" i="2" s="1"/>
  <c r="K44" i="2"/>
  <c r="K43" i="2" s="1"/>
  <c r="J44" i="2"/>
  <c r="J43" i="2" s="1"/>
  <c r="I44" i="2"/>
  <c r="I43" i="2" s="1"/>
  <c r="H44" i="2"/>
  <c r="H43" i="2" s="1"/>
  <c r="Y42" i="2"/>
  <c r="Y41" i="2" s="1"/>
  <c r="X41" i="2"/>
  <c r="W41" i="2"/>
  <c r="V41" i="2"/>
  <c r="U41" i="2"/>
  <c r="T41" i="2"/>
  <c r="S41" i="2"/>
  <c r="R41" i="2"/>
  <c r="Q41" i="2"/>
  <c r="P41" i="2"/>
  <c r="O41" i="2"/>
  <c r="K41" i="2"/>
  <c r="J41" i="2"/>
  <c r="I41" i="2"/>
  <c r="H41" i="2"/>
  <c r="Y40" i="2"/>
  <c r="Y39" i="2" s="1"/>
  <c r="P40" i="2"/>
  <c r="O40" i="2"/>
  <c r="O39" i="2" s="1"/>
  <c r="X39" i="2"/>
  <c r="W39" i="2"/>
  <c r="V39" i="2"/>
  <c r="U39" i="2"/>
  <c r="T39" i="2"/>
  <c r="S39" i="2"/>
  <c r="R39" i="2"/>
  <c r="Q39" i="2"/>
  <c r="P39" i="2"/>
  <c r="K39" i="2"/>
  <c r="J39" i="2"/>
  <c r="I39" i="2"/>
  <c r="H39" i="2"/>
  <c r="Y37" i="2"/>
  <c r="T38" i="2"/>
  <c r="O38" i="2"/>
  <c r="O37" i="2" s="1"/>
  <c r="J38" i="2"/>
  <c r="H38" i="2"/>
  <c r="H37" i="2" s="1"/>
  <c r="X37" i="2"/>
  <c r="W37" i="2"/>
  <c r="V37" i="2"/>
  <c r="U37" i="2"/>
  <c r="T37" i="2"/>
  <c r="S37" i="2"/>
  <c r="R37" i="2"/>
  <c r="Q37" i="2"/>
  <c r="P37" i="2"/>
  <c r="K37" i="2"/>
  <c r="J37" i="2"/>
  <c r="I37" i="2"/>
  <c r="Y35" i="2"/>
  <c r="Y34" i="2" s="1"/>
  <c r="X34" i="2"/>
  <c r="W34" i="2"/>
  <c r="W31" i="2" s="1"/>
  <c r="V34" i="2"/>
  <c r="V31" i="2" s="1"/>
  <c r="U34" i="2"/>
  <c r="U31" i="2" s="1"/>
  <c r="T34" i="2"/>
  <c r="S34" i="2"/>
  <c r="R34" i="2"/>
  <c r="Q34" i="2"/>
  <c r="P34" i="2"/>
  <c r="O34" i="2"/>
  <c r="K34" i="2"/>
  <c r="J34" i="2"/>
  <c r="Y32" i="2"/>
  <c r="X32" i="2"/>
  <c r="T32" i="2"/>
  <c r="S31" i="2"/>
  <c r="R31" i="2"/>
  <c r="Q31" i="2"/>
  <c r="P31" i="2"/>
  <c r="K31" i="2"/>
  <c r="J31" i="2"/>
  <c r="I31" i="2"/>
  <c r="H31" i="2"/>
  <c r="Y29" i="2"/>
  <c r="X29" i="2"/>
  <c r="W29" i="2"/>
  <c r="V29" i="2"/>
  <c r="U29" i="2"/>
  <c r="T29" i="2"/>
  <c r="S29" i="2"/>
  <c r="R29" i="2"/>
  <c r="Q29" i="2"/>
  <c r="P29" i="2"/>
  <c r="O29" i="2"/>
  <c r="K29" i="2"/>
  <c r="J29" i="2"/>
  <c r="I29" i="2"/>
  <c r="H29" i="2"/>
  <c r="T23" i="2"/>
  <c r="S22" i="2"/>
  <c r="S21" i="2" s="1"/>
  <c r="S20" i="2" s="1"/>
  <c r="R22" i="2"/>
  <c r="R21" i="2" s="1"/>
  <c r="R20" i="2" s="1"/>
  <c r="Q22" i="2"/>
  <c r="Q21" i="2" s="1"/>
  <c r="Q20" i="2" s="1"/>
  <c r="P22" i="2"/>
  <c r="P21" i="2" s="1"/>
  <c r="P20" i="2" s="1"/>
  <c r="O22" i="2"/>
  <c r="O21" i="2" s="1"/>
  <c r="J19" i="2"/>
  <c r="O18" i="2"/>
  <c r="J18" i="2"/>
  <c r="Y16" i="2"/>
  <c r="T17" i="2"/>
  <c r="J17" i="2"/>
  <c r="J16" i="2" s="1"/>
  <c r="X16" i="2"/>
  <c r="W16" i="2"/>
  <c r="V16" i="2"/>
  <c r="U16" i="2"/>
  <c r="T16" i="2"/>
  <c r="S16" i="2"/>
  <c r="R16" i="2"/>
  <c r="Q16" i="2"/>
  <c r="P16" i="2"/>
  <c r="O16" i="2"/>
  <c r="K16" i="2"/>
  <c r="I16" i="2"/>
  <c r="H16" i="2"/>
  <c r="J15" i="2"/>
  <c r="Y14" i="2"/>
  <c r="X14" i="2"/>
  <c r="X13" i="2" s="1"/>
  <c r="W14" i="2"/>
  <c r="W13" i="2" s="1"/>
  <c r="V14" i="2"/>
  <c r="V13" i="2" s="1"/>
  <c r="U14" i="2"/>
  <c r="U13" i="2" s="1"/>
  <c r="T14" i="2"/>
  <c r="S14" i="2"/>
  <c r="R14" i="2"/>
  <c r="Q14" i="2"/>
  <c r="P14" i="2"/>
  <c r="O14" i="2"/>
  <c r="K14" i="2"/>
  <c r="J14" i="2"/>
  <c r="I14" i="2"/>
  <c r="I13" i="2" s="1"/>
  <c r="I12" i="2" s="1"/>
  <c r="I11" i="2" s="1"/>
  <c r="I10" i="2" s="1"/>
  <c r="I9" i="2" s="1"/>
  <c r="H14" i="2"/>
  <c r="X55" i="2" l="1"/>
  <c r="H226" i="2"/>
  <c r="H13" i="2"/>
  <c r="H12" i="2" s="1"/>
  <c r="H11" i="2" s="1"/>
  <c r="H10" i="2" s="1"/>
  <c r="H9" i="2" s="1"/>
  <c r="X90" i="2"/>
  <c r="U90" i="2"/>
  <c r="U55" i="2"/>
  <c r="X142" i="2"/>
  <c r="Y622" i="2"/>
  <c r="Y617" i="2" s="1"/>
  <c r="S167" i="2"/>
  <c r="S166" i="2" s="1"/>
  <c r="S165" i="2" s="1"/>
  <c r="S164" i="2" s="1"/>
  <c r="V90" i="2"/>
  <c r="W12" i="2"/>
  <c r="W11" i="2" s="1"/>
  <c r="W10" i="2" s="1"/>
  <c r="W9" i="2" s="1"/>
  <c r="X85" i="2"/>
  <c r="V605" i="2"/>
  <c r="V604" i="2" s="1"/>
  <c r="V598" i="2" s="1"/>
  <c r="R643" i="2"/>
  <c r="R642" i="2" s="1"/>
  <c r="X215" i="2"/>
  <c r="P643" i="2"/>
  <c r="P642" i="2" s="1"/>
  <c r="P520" i="2"/>
  <c r="S520" i="2"/>
  <c r="T399" i="2"/>
  <c r="T398" i="2" s="1"/>
  <c r="H520" i="2"/>
  <c r="V202" i="2"/>
  <c r="O13" i="2"/>
  <c r="O12" i="2" s="1"/>
  <c r="O11" i="2" s="1"/>
  <c r="T13" i="2"/>
  <c r="T12" i="2" s="1"/>
  <c r="T11" i="2" s="1"/>
  <c r="V195" i="2"/>
  <c r="O449" i="2"/>
  <c r="O448" i="2" s="1"/>
  <c r="W449" i="2"/>
  <c r="W448" i="2" s="1"/>
  <c r="W36" i="2"/>
  <c r="W28" i="2" s="1"/>
  <c r="S90" i="2"/>
  <c r="S84" i="2" s="1"/>
  <c r="Q286" i="2"/>
  <c r="K392" i="2"/>
  <c r="K391" i="2" s="1"/>
  <c r="R534" i="2"/>
  <c r="P226" i="2"/>
  <c r="T266" i="2"/>
  <c r="R286" i="2"/>
  <c r="K399" i="2"/>
  <c r="K398" i="2" s="1"/>
  <c r="V399" i="2"/>
  <c r="V398" i="2" s="1"/>
  <c r="R13" i="2"/>
  <c r="R12" i="2" s="1"/>
  <c r="R11" i="2" s="1"/>
  <c r="R10" i="2" s="1"/>
  <c r="R9" i="2" s="1"/>
  <c r="S13" i="2"/>
  <c r="S12" i="2" s="1"/>
  <c r="S11" i="2" s="1"/>
  <c r="S10" i="2" s="1"/>
  <c r="S9" i="2" s="1"/>
  <c r="P90" i="2"/>
  <c r="P84" i="2" s="1"/>
  <c r="T167" i="2"/>
  <c r="T166" i="2" s="1"/>
  <c r="T165" i="2" s="1"/>
  <c r="T164" i="2" s="1"/>
  <c r="O74" i="2"/>
  <c r="O73" i="2" s="1"/>
  <c r="X158" i="2"/>
  <c r="X157" i="2" s="1"/>
  <c r="H368" i="2"/>
  <c r="S368" i="2"/>
  <c r="S362" i="2" s="1"/>
  <c r="S361" i="2" s="1"/>
  <c r="I368" i="2"/>
  <c r="T368" i="2"/>
  <c r="T362" i="2" s="1"/>
  <c r="T361" i="2" s="1"/>
  <c r="V379" i="2"/>
  <c r="V378" i="2" s="1"/>
  <c r="V377" i="2" s="1"/>
  <c r="V376" i="2" s="1"/>
  <c r="V375" i="2" s="1"/>
  <c r="K534" i="2"/>
  <c r="K533" i="2" s="1"/>
  <c r="H362" i="2"/>
  <c r="H361" i="2" s="1"/>
  <c r="S195" i="2"/>
  <c r="V294" i="2"/>
  <c r="P534" i="2"/>
  <c r="P533" i="2" s="1"/>
  <c r="S36" i="2"/>
  <c r="W98" i="2"/>
  <c r="O167" i="2"/>
  <c r="O166" i="2" s="1"/>
  <c r="O165" i="2" s="1"/>
  <c r="O164" i="2" s="1"/>
  <c r="W167" i="2"/>
  <c r="W166" i="2" s="1"/>
  <c r="W165" i="2" s="1"/>
  <c r="W164" i="2" s="1"/>
  <c r="P286" i="2"/>
  <c r="X286" i="2"/>
  <c r="Q342" i="2"/>
  <c r="R392" i="2"/>
  <c r="R391" i="2" s="1"/>
  <c r="S73" i="2"/>
  <c r="S60" i="2" s="1"/>
  <c r="W116" i="2"/>
  <c r="W115" i="2" s="1"/>
  <c r="W114" i="2" s="1"/>
  <c r="U195" i="2"/>
  <c r="Q73" i="2"/>
  <c r="Q60" i="2" s="1"/>
  <c r="Q167" i="2"/>
  <c r="Q166" i="2" s="1"/>
  <c r="Q165" i="2" s="1"/>
  <c r="Q164" i="2" s="1"/>
  <c r="W321" i="2"/>
  <c r="U431" i="2"/>
  <c r="P605" i="2"/>
  <c r="P604" i="2" s="1"/>
  <c r="P598" i="2" s="1"/>
  <c r="J90" i="2"/>
  <c r="J84" i="2" s="1"/>
  <c r="R195" i="2"/>
  <c r="K65" i="2"/>
  <c r="K60" i="2" s="1"/>
  <c r="W65" i="2"/>
  <c r="V65" i="2"/>
  <c r="X76" i="2"/>
  <c r="Q116" i="2"/>
  <c r="Q115" i="2" s="1"/>
  <c r="Q114" i="2" s="1"/>
  <c r="S142" i="2"/>
  <c r="V167" i="2"/>
  <c r="V166" i="2" s="1"/>
  <c r="V165" i="2" s="1"/>
  <c r="V164" i="2" s="1"/>
  <c r="T289" i="2"/>
  <c r="Y289" i="2" s="1"/>
  <c r="R342" i="2"/>
  <c r="S471" i="2"/>
  <c r="Q534" i="2"/>
  <c r="Q533" i="2" s="1"/>
  <c r="Y534" i="2"/>
  <c r="W569" i="2"/>
  <c r="O368" i="2"/>
  <c r="O362" i="2" s="1"/>
  <c r="O361" i="2" s="1"/>
  <c r="P65" i="2"/>
  <c r="P60" i="2" s="1"/>
  <c r="X65" i="2"/>
  <c r="R90" i="2"/>
  <c r="R84" i="2" s="1"/>
  <c r="O90" i="2"/>
  <c r="O84" i="2" s="1"/>
  <c r="P167" i="2"/>
  <c r="P166" i="2" s="1"/>
  <c r="P165" i="2" s="1"/>
  <c r="P164" i="2" s="1"/>
  <c r="X167" i="2"/>
  <c r="X166" i="2" s="1"/>
  <c r="X165" i="2" s="1"/>
  <c r="X164" i="2" s="1"/>
  <c r="W195" i="2"/>
  <c r="H379" i="2"/>
  <c r="H378" i="2" s="1"/>
  <c r="H377" i="2" s="1"/>
  <c r="H376" i="2" s="1"/>
  <c r="H375" i="2" s="1"/>
  <c r="S379" i="2"/>
  <c r="S378" i="2" s="1"/>
  <c r="S377" i="2" s="1"/>
  <c r="S376" i="2" s="1"/>
  <c r="S375" i="2" s="1"/>
  <c r="Q431" i="2"/>
  <c r="H449" i="2"/>
  <c r="H448" i="2" s="1"/>
  <c r="S449" i="2"/>
  <c r="S448" i="2" s="1"/>
  <c r="X515" i="2"/>
  <c r="X514" i="2" s="1"/>
  <c r="X513" i="2" s="1"/>
  <c r="H534" i="2"/>
  <c r="H533" i="2" s="1"/>
  <c r="S534" i="2"/>
  <c r="S533" i="2" s="1"/>
  <c r="Y559" i="2"/>
  <c r="Y558" i="2" s="1"/>
  <c r="Y553" i="2" s="1"/>
  <c r="R656" i="2"/>
  <c r="R651" i="2" s="1"/>
  <c r="R650" i="2" s="1"/>
  <c r="X116" i="2"/>
  <c r="X115" i="2" s="1"/>
  <c r="X114" i="2" s="1"/>
  <c r="U237" i="2"/>
  <c r="U223" i="2" s="1"/>
  <c r="U222" i="2" s="1"/>
  <c r="U221" i="2" s="1"/>
  <c r="W456" i="2"/>
  <c r="Q36" i="2"/>
  <c r="O158" i="2"/>
  <c r="O157" i="2" s="1"/>
  <c r="R226" i="2"/>
  <c r="V431" i="2"/>
  <c r="S431" i="2"/>
  <c r="O462" i="2"/>
  <c r="O456" i="2" s="1"/>
  <c r="K501" i="2"/>
  <c r="K500" i="2" s="1"/>
  <c r="K499" i="2" s="1"/>
  <c r="R515" i="2"/>
  <c r="R514" i="2" s="1"/>
  <c r="R513" i="2" s="1"/>
  <c r="O515" i="2"/>
  <c r="O514" i="2" s="1"/>
  <c r="O513" i="2" s="1"/>
  <c r="J534" i="2"/>
  <c r="J533" i="2" s="1"/>
  <c r="U534" i="2"/>
  <c r="U533" i="2" s="1"/>
  <c r="H656" i="2"/>
  <c r="H651" i="2" s="1"/>
  <c r="H650" i="2" s="1"/>
  <c r="S656" i="2"/>
  <c r="S651" i="2" s="1"/>
  <c r="S650" i="2" s="1"/>
  <c r="X31" i="2"/>
  <c r="T36" i="2"/>
  <c r="P158" i="2"/>
  <c r="P157" i="2" s="1"/>
  <c r="K449" i="2"/>
  <c r="K448" i="2" s="1"/>
  <c r="V449" i="2"/>
  <c r="V448" i="2" s="1"/>
  <c r="R520" i="2"/>
  <c r="I36" i="2"/>
  <c r="I28" i="2" s="1"/>
  <c r="U36" i="2"/>
  <c r="U28" i="2" s="1"/>
  <c r="I65" i="2"/>
  <c r="I60" i="2" s="1"/>
  <c r="U65" i="2"/>
  <c r="Q202" i="2"/>
  <c r="P202" i="2"/>
  <c r="X202" i="2"/>
  <c r="P342" i="2"/>
  <c r="P431" i="2"/>
  <c r="T515" i="2"/>
  <c r="T514" i="2" s="1"/>
  <c r="T513" i="2" s="1"/>
  <c r="O534" i="2"/>
  <c r="O533" i="2" s="1"/>
  <c r="W534" i="2"/>
  <c r="W533" i="2" s="1"/>
  <c r="X534" i="2"/>
  <c r="X533" i="2" s="1"/>
  <c r="U569" i="2"/>
  <c r="W605" i="2"/>
  <c r="W604" i="2" s="1"/>
  <c r="W598" i="2" s="1"/>
  <c r="X622" i="2"/>
  <c r="X617" i="2" s="1"/>
  <c r="U321" i="2"/>
  <c r="U12" i="2"/>
  <c r="U11" i="2" s="1"/>
  <c r="U10" i="2" s="1"/>
  <c r="U9" i="2" s="1"/>
  <c r="K13" i="2"/>
  <c r="K12" i="2" s="1"/>
  <c r="K11" i="2" s="1"/>
  <c r="K10" i="2" s="1"/>
  <c r="K9" i="2" s="1"/>
  <c r="T31" i="2"/>
  <c r="U76" i="2"/>
  <c r="V98" i="2"/>
  <c r="O116" i="2"/>
  <c r="O115" i="2" s="1"/>
  <c r="O114" i="2" s="1"/>
  <c r="R202" i="2"/>
  <c r="J202" i="2"/>
  <c r="I362" i="2"/>
  <c r="I361" i="2" s="1"/>
  <c r="O399" i="2"/>
  <c r="O398" i="2" s="1"/>
  <c r="W399" i="2"/>
  <c r="W398" i="2" s="1"/>
  <c r="X409" i="2"/>
  <c r="X408" i="2" s="1"/>
  <c r="X407" i="2" s="1"/>
  <c r="H409" i="2"/>
  <c r="H408" i="2" s="1"/>
  <c r="H407" i="2" s="1"/>
  <c r="Y423" i="2"/>
  <c r="O431" i="2"/>
  <c r="Q449" i="2"/>
  <c r="Q448" i="2" s="1"/>
  <c r="Y449" i="2"/>
  <c r="Y448" i="2" s="1"/>
  <c r="O501" i="2"/>
  <c r="O500" i="2" s="1"/>
  <c r="O499" i="2" s="1"/>
  <c r="X581" i="2"/>
  <c r="X569" i="2" s="1"/>
  <c r="U589" i="2"/>
  <c r="U585" i="2" s="1"/>
  <c r="Y55" i="2"/>
  <c r="V158" i="2"/>
  <c r="V157" i="2" s="1"/>
  <c r="K195" i="2"/>
  <c r="Y215" i="2"/>
  <c r="T237" i="2"/>
  <c r="R368" i="2"/>
  <c r="R362" i="2" s="1"/>
  <c r="R361" i="2" s="1"/>
  <c r="J379" i="2"/>
  <c r="J378" i="2" s="1"/>
  <c r="J377" i="2" s="1"/>
  <c r="J376" i="2" s="1"/>
  <c r="J375" i="2" s="1"/>
  <c r="U379" i="2"/>
  <c r="U378" i="2" s="1"/>
  <c r="U377" i="2" s="1"/>
  <c r="U376" i="2" s="1"/>
  <c r="U375" i="2" s="1"/>
  <c r="K379" i="2"/>
  <c r="K378" i="2" s="1"/>
  <c r="K377" i="2" s="1"/>
  <c r="K376" i="2" s="1"/>
  <c r="K375" i="2" s="1"/>
  <c r="R449" i="2"/>
  <c r="R448" i="2" s="1"/>
  <c r="W589" i="2"/>
  <c r="W585" i="2" s="1"/>
  <c r="I656" i="2"/>
  <c r="I651" i="2" s="1"/>
  <c r="I650" i="2" s="1"/>
  <c r="U85" i="2"/>
  <c r="Y90" i="2"/>
  <c r="V321" i="2"/>
  <c r="V392" i="2"/>
  <c r="V391" i="2" s="1"/>
  <c r="U409" i="2"/>
  <c r="U408" i="2" s="1"/>
  <c r="U407" i="2" s="1"/>
  <c r="K520" i="2"/>
  <c r="T76" i="2"/>
  <c r="H90" i="2"/>
  <c r="H84" i="2" s="1"/>
  <c r="U98" i="2"/>
  <c r="X226" i="2"/>
  <c r="T226" i="2"/>
  <c r="I237" i="2"/>
  <c r="I223" i="2" s="1"/>
  <c r="I222" i="2" s="1"/>
  <c r="I221" i="2" s="1"/>
  <c r="W294" i="2"/>
  <c r="O379" i="2"/>
  <c r="O378" i="2" s="1"/>
  <c r="O377" i="2" s="1"/>
  <c r="O376" i="2" s="1"/>
  <c r="O375" i="2" s="1"/>
  <c r="R471" i="2"/>
  <c r="H471" i="2"/>
  <c r="U656" i="2"/>
  <c r="U651" i="2" s="1"/>
  <c r="U650" i="2" s="1"/>
  <c r="Q13" i="2"/>
  <c r="Q12" i="2" s="1"/>
  <c r="Q11" i="2" s="1"/>
  <c r="Q10" i="2" s="1"/>
  <c r="Q9" i="2" s="1"/>
  <c r="W85" i="2"/>
  <c r="R142" i="2"/>
  <c r="Y158" i="2"/>
  <c r="Y157" i="2" s="1"/>
  <c r="K202" i="2"/>
  <c r="K321" i="2"/>
  <c r="K320" i="2" s="1"/>
  <c r="K314" i="2" s="1"/>
  <c r="O321" i="2"/>
  <c r="J368" i="2"/>
  <c r="U368" i="2"/>
  <c r="U362" i="2" s="1"/>
  <c r="U361" i="2" s="1"/>
  <c r="S399" i="2"/>
  <c r="S398" i="2" s="1"/>
  <c r="S515" i="2"/>
  <c r="S514" i="2" s="1"/>
  <c r="S513" i="2" s="1"/>
  <c r="Q520" i="2"/>
  <c r="I552" i="2"/>
  <c r="Y589" i="2"/>
  <c r="Y585" i="2" s="1"/>
  <c r="H598" i="2"/>
  <c r="R617" i="2"/>
  <c r="V656" i="2"/>
  <c r="V651" i="2" s="1"/>
  <c r="V650" i="2" s="1"/>
  <c r="O656" i="2"/>
  <c r="O651" i="2" s="1"/>
  <c r="O650" i="2" s="1"/>
  <c r="W656" i="2"/>
  <c r="W651" i="2" s="1"/>
  <c r="W650" i="2" s="1"/>
  <c r="V36" i="2"/>
  <c r="V28" i="2" s="1"/>
  <c r="V76" i="2"/>
  <c r="S294" i="2"/>
  <c r="U342" i="2"/>
  <c r="U341" i="2" s="1"/>
  <c r="J36" i="2"/>
  <c r="K36" i="2"/>
  <c r="K28" i="2" s="1"/>
  <c r="O65" i="2"/>
  <c r="T85" i="2"/>
  <c r="W368" i="2"/>
  <c r="W362" i="2" s="1"/>
  <c r="W361" i="2" s="1"/>
  <c r="Q368" i="2"/>
  <c r="Q362" i="2" s="1"/>
  <c r="Q361" i="2" s="1"/>
  <c r="Y368" i="2"/>
  <c r="Y362" i="2" s="1"/>
  <c r="Y361" i="2" s="1"/>
  <c r="R379" i="2"/>
  <c r="R378" i="2" s="1"/>
  <c r="R377" i="2" s="1"/>
  <c r="R376" i="2" s="1"/>
  <c r="R375" i="2" s="1"/>
  <c r="U399" i="2"/>
  <c r="U398" i="2" s="1"/>
  <c r="J409" i="2"/>
  <c r="J408" i="2" s="1"/>
  <c r="J407" i="2" s="1"/>
  <c r="Y457" i="2"/>
  <c r="V534" i="2"/>
  <c r="V533" i="2" s="1"/>
  <c r="P589" i="2"/>
  <c r="P585" i="2" s="1"/>
  <c r="J598" i="2"/>
  <c r="R605" i="2"/>
  <c r="R604" i="2" s="1"/>
  <c r="R598" i="2" s="1"/>
  <c r="U622" i="2"/>
  <c r="U617" i="2" s="1"/>
  <c r="P656" i="2"/>
  <c r="P651" i="2" s="1"/>
  <c r="P650" i="2" s="1"/>
  <c r="X656" i="2"/>
  <c r="X651" i="2" s="1"/>
  <c r="X650" i="2" s="1"/>
  <c r="Y501" i="2"/>
  <c r="Y500" i="2" s="1"/>
  <c r="Y499" i="2" s="1"/>
  <c r="I321" i="2"/>
  <c r="I320" i="2" s="1"/>
  <c r="I314" i="2" s="1"/>
  <c r="Q501" i="2"/>
  <c r="Q500" i="2" s="1"/>
  <c r="Q499" i="2" s="1"/>
  <c r="T534" i="2"/>
  <c r="T533" i="2" s="1"/>
  <c r="V12" i="2"/>
  <c r="V11" i="2" s="1"/>
  <c r="V10" i="2" s="1"/>
  <c r="V9" i="2" s="1"/>
  <c r="Y36" i="2"/>
  <c r="J65" i="2"/>
  <c r="J60" i="2" s="1"/>
  <c r="K116" i="2"/>
  <c r="K115" i="2" s="1"/>
  <c r="K114" i="2" s="1"/>
  <c r="O226" i="2"/>
  <c r="W226" i="2"/>
  <c r="H237" i="2"/>
  <c r="H223" i="2" s="1"/>
  <c r="H222" i="2" s="1"/>
  <c r="H221" i="2" s="1"/>
  <c r="R237" i="2"/>
  <c r="Q237" i="2"/>
  <c r="P294" i="2"/>
  <c r="X294" i="2"/>
  <c r="O409" i="2"/>
  <c r="O408" i="2" s="1"/>
  <c r="O407" i="2" s="1"/>
  <c r="T463" i="2"/>
  <c r="T462" i="2" s="1"/>
  <c r="T577" i="2"/>
  <c r="T589" i="2"/>
  <c r="T585" i="2" s="1"/>
  <c r="T622" i="2"/>
  <c r="T617" i="2" s="1"/>
  <c r="T656" i="2"/>
  <c r="T651" i="2" s="1"/>
  <c r="T650" i="2" s="1"/>
  <c r="J656" i="2"/>
  <c r="J651" i="2" s="1"/>
  <c r="J650" i="2" s="1"/>
  <c r="S501" i="2"/>
  <c r="S500" i="2" s="1"/>
  <c r="S499" i="2" s="1"/>
  <c r="K605" i="2"/>
  <c r="K604" i="2" s="1"/>
  <c r="K598" i="2" s="1"/>
  <c r="Y643" i="2"/>
  <c r="Y642" i="2" s="1"/>
  <c r="K656" i="2"/>
  <c r="K651" i="2" s="1"/>
  <c r="K650" i="2" s="1"/>
  <c r="P13" i="2"/>
  <c r="P12" i="2" s="1"/>
  <c r="P11" i="2" s="1"/>
  <c r="P10" i="2" s="1"/>
  <c r="P9" i="2" s="1"/>
  <c r="X12" i="2"/>
  <c r="X11" i="2" s="1"/>
  <c r="X10" i="2" s="1"/>
  <c r="X9" i="2" s="1"/>
  <c r="R73" i="2"/>
  <c r="R60" i="2" s="1"/>
  <c r="Q158" i="2"/>
  <c r="Q157" i="2" s="1"/>
  <c r="R167" i="2"/>
  <c r="R166" i="2" s="1"/>
  <c r="R165" i="2" s="1"/>
  <c r="R164" i="2" s="1"/>
  <c r="U202" i="2"/>
  <c r="J321" i="2"/>
  <c r="J320" i="2" s="1"/>
  <c r="J314" i="2" s="1"/>
  <c r="T342" i="2"/>
  <c r="T341" i="2" s="1"/>
  <c r="P379" i="2"/>
  <c r="P378" i="2" s="1"/>
  <c r="P377" i="2" s="1"/>
  <c r="P376" i="2" s="1"/>
  <c r="P375" i="2" s="1"/>
  <c r="X379" i="2"/>
  <c r="X378" i="2" s="1"/>
  <c r="X377" i="2" s="1"/>
  <c r="X376" i="2" s="1"/>
  <c r="X375" i="2" s="1"/>
  <c r="P392" i="2"/>
  <c r="P391" i="2" s="1"/>
  <c r="X392" i="2"/>
  <c r="X391" i="2" s="1"/>
  <c r="W431" i="2"/>
  <c r="T431" i="2"/>
  <c r="I449" i="2"/>
  <c r="I448" i="2" s="1"/>
  <c r="T449" i="2"/>
  <c r="T448" i="2" s="1"/>
  <c r="U456" i="2"/>
  <c r="I456" i="2"/>
  <c r="J456" i="2"/>
  <c r="T501" i="2"/>
  <c r="T500" i="2" s="1"/>
  <c r="T499" i="2" s="1"/>
  <c r="V499" i="2"/>
  <c r="U515" i="2"/>
  <c r="U514" i="2" s="1"/>
  <c r="U513" i="2" s="1"/>
  <c r="V622" i="2"/>
  <c r="V617" i="2" s="1"/>
  <c r="H65" i="2"/>
  <c r="H60" i="2" s="1"/>
  <c r="W202" i="2"/>
  <c r="I202" i="2"/>
  <c r="I192" i="2" s="1"/>
  <c r="I191" i="2" s="1"/>
  <c r="I190" i="2" s="1"/>
  <c r="K286" i="2"/>
  <c r="V286" i="2"/>
  <c r="H294" i="2"/>
  <c r="I294" i="2"/>
  <c r="J294" i="2"/>
  <c r="Y422" i="2"/>
  <c r="Y421" i="2" s="1"/>
  <c r="X431" i="2"/>
  <c r="J449" i="2"/>
  <c r="J448" i="2" s="1"/>
  <c r="U449" i="2"/>
  <c r="U448" i="2" s="1"/>
  <c r="V456" i="2"/>
  <c r="S456" i="2"/>
  <c r="W499" i="2"/>
  <c r="H552" i="2"/>
  <c r="V559" i="2"/>
  <c r="V558" i="2" s="1"/>
  <c r="V553" i="2" s="1"/>
  <c r="X605" i="2"/>
  <c r="X604" i="2" s="1"/>
  <c r="X598" i="2" s="1"/>
  <c r="W622" i="2"/>
  <c r="W617" i="2" s="1"/>
  <c r="U633" i="2"/>
  <c r="U632" i="2" s="1"/>
  <c r="U631" i="2" s="1"/>
  <c r="U630" i="2" s="1"/>
  <c r="S643" i="2"/>
  <c r="S642" i="2" s="1"/>
  <c r="Y31" i="2"/>
  <c r="H36" i="2"/>
  <c r="H28" i="2" s="1"/>
  <c r="W76" i="2"/>
  <c r="K90" i="2"/>
  <c r="K84" i="2" s="1"/>
  <c r="S226" i="2"/>
  <c r="O286" i="2"/>
  <c r="W286" i="2"/>
  <c r="Q321" i="2"/>
  <c r="Q320" i="2" s="1"/>
  <c r="Q314" i="2" s="1"/>
  <c r="S342" i="2"/>
  <c r="T379" i="2"/>
  <c r="T378" i="2" s="1"/>
  <c r="T377" i="2" s="1"/>
  <c r="T376" i="2" s="1"/>
  <c r="T375" i="2" s="1"/>
  <c r="Q379" i="2"/>
  <c r="Q378" i="2" s="1"/>
  <c r="Q377" i="2" s="1"/>
  <c r="Q376" i="2" s="1"/>
  <c r="Q375" i="2" s="1"/>
  <c r="T396" i="2"/>
  <c r="T392" i="2" s="1"/>
  <c r="T391" i="2" s="1"/>
  <c r="Q399" i="2"/>
  <c r="Q398" i="2" s="1"/>
  <c r="I499" i="2"/>
  <c r="X589" i="2"/>
  <c r="X585" i="2" s="1"/>
  <c r="Q605" i="2"/>
  <c r="Q604" i="2" s="1"/>
  <c r="Q598" i="2" s="1"/>
  <c r="Q643" i="2"/>
  <c r="Q642" i="2" s="1"/>
  <c r="Q656" i="2"/>
  <c r="Q651" i="2" s="1"/>
  <c r="Q650" i="2" s="1"/>
  <c r="Y656" i="2"/>
  <c r="P36" i="2"/>
  <c r="X36" i="2"/>
  <c r="W90" i="2"/>
  <c r="T101" i="2"/>
  <c r="Y101" i="2" s="1"/>
  <c r="Y98" i="2" s="1"/>
  <c r="J164" i="2"/>
  <c r="J163" i="2" s="1"/>
  <c r="U167" i="2"/>
  <c r="U166" i="2" s="1"/>
  <c r="U165" i="2" s="1"/>
  <c r="U164" i="2" s="1"/>
  <c r="T179" i="2"/>
  <c r="T177" i="2" s="1"/>
  <c r="T176" i="2" s="1"/>
  <c r="V176" i="2"/>
  <c r="Q195" i="2"/>
  <c r="J237" i="2"/>
  <c r="W237" i="2"/>
  <c r="I286" i="2"/>
  <c r="V409" i="2"/>
  <c r="V408" i="2" s="1"/>
  <c r="V407" i="2" s="1"/>
  <c r="S409" i="2"/>
  <c r="S408" i="2" s="1"/>
  <c r="S407" i="2" s="1"/>
  <c r="R431" i="2"/>
  <c r="P515" i="2"/>
  <c r="P514" i="2" s="1"/>
  <c r="P513" i="2" s="1"/>
  <c r="I520" i="2"/>
  <c r="O631" i="2"/>
  <c r="O630" i="2" s="1"/>
  <c r="U116" i="2"/>
  <c r="U115" i="2" s="1"/>
  <c r="U114" i="2" s="1"/>
  <c r="W379" i="2"/>
  <c r="W378" i="2" s="1"/>
  <c r="W377" i="2" s="1"/>
  <c r="W376" i="2" s="1"/>
  <c r="W375" i="2" s="1"/>
  <c r="O36" i="2"/>
  <c r="H116" i="2"/>
  <c r="H115" i="2" s="1"/>
  <c r="H114" i="2" s="1"/>
  <c r="T116" i="2"/>
  <c r="T115" i="2" s="1"/>
  <c r="T114" i="2" s="1"/>
  <c r="Q142" i="2"/>
  <c r="S237" i="2"/>
  <c r="O237" i="2"/>
  <c r="Y276" i="2"/>
  <c r="J362" i="2"/>
  <c r="J361" i="2" s="1"/>
  <c r="I379" i="2"/>
  <c r="I378" i="2" s="1"/>
  <c r="I377" i="2" s="1"/>
  <c r="I376" i="2" s="1"/>
  <c r="I375" i="2" s="1"/>
  <c r="W409" i="2"/>
  <c r="W408" i="2" s="1"/>
  <c r="W407" i="2" s="1"/>
  <c r="T409" i="2"/>
  <c r="T408" i="2" s="1"/>
  <c r="T407" i="2" s="1"/>
  <c r="Q456" i="2"/>
  <c r="P456" i="2"/>
  <c r="X456" i="2"/>
  <c r="P501" i="2"/>
  <c r="P500" i="2" s="1"/>
  <c r="P499" i="2" s="1"/>
  <c r="Q515" i="2"/>
  <c r="Q514" i="2" s="1"/>
  <c r="Q513" i="2" s="1"/>
  <c r="Y515" i="2"/>
  <c r="Y514" i="2" s="1"/>
  <c r="Y513" i="2" s="1"/>
  <c r="J520" i="2"/>
  <c r="X633" i="2"/>
  <c r="X632" i="2" s="1"/>
  <c r="X631" i="2" s="1"/>
  <c r="X630" i="2" s="1"/>
  <c r="K643" i="2"/>
  <c r="K642" i="2" s="1"/>
  <c r="Y653" i="2"/>
  <c r="Y652" i="2" s="1"/>
  <c r="Q617" i="2"/>
  <c r="S617" i="2"/>
  <c r="I631" i="2"/>
  <c r="I630" i="2" s="1"/>
  <c r="V633" i="2"/>
  <c r="V632" i="2" s="1"/>
  <c r="V631" i="2" s="1"/>
  <c r="V630" i="2" s="1"/>
  <c r="Q631" i="2"/>
  <c r="Q630" i="2" s="1"/>
  <c r="H631" i="2"/>
  <c r="H630" i="2" s="1"/>
  <c r="H612" i="2" s="1"/>
  <c r="R631" i="2"/>
  <c r="R630" i="2" s="1"/>
  <c r="S631" i="2"/>
  <c r="S630" i="2" s="1"/>
  <c r="P617" i="2"/>
  <c r="Y633" i="2"/>
  <c r="Y632" i="2" s="1"/>
  <c r="Y631" i="2" s="1"/>
  <c r="Y630" i="2" s="1"/>
  <c r="T633" i="2"/>
  <c r="T632" i="2" s="1"/>
  <c r="T631" i="2" s="1"/>
  <c r="T630" i="2" s="1"/>
  <c r="T485" i="2"/>
  <c r="T484" i="2" s="1"/>
  <c r="T483" i="2" s="1"/>
  <c r="R569" i="2"/>
  <c r="R552" i="2" s="1"/>
  <c r="U559" i="2"/>
  <c r="U558" i="2" s="1"/>
  <c r="U553" i="2" s="1"/>
  <c r="V520" i="2"/>
  <c r="S605" i="2"/>
  <c r="S604" i="2" s="1"/>
  <c r="S598" i="2" s="1"/>
  <c r="U605" i="2"/>
  <c r="U604" i="2" s="1"/>
  <c r="U598" i="2" s="1"/>
  <c r="T275" i="2"/>
  <c r="Y275" i="2" s="1"/>
  <c r="W520" i="2"/>
  <c r="Q569" i="2"/>
  <c r="Q552" i="2" s="1"/>
  <c r="R485" i="2"/>
  <c r="R484" i="2" s="1"/>
  <c r="R483" i="2" s="1"/>
  <c r="X559" i="2"/>
  <c r="X558" i="2" s="1"/>
  <c r="X553" i="2" s="1"/>
  <c r="T559" i="2"/>
  <c r="T558" i="2" s="1"/>
  <c r="T553" i="2" s="1"/>
  <c r="W515" i="2"/>
  <c r="W514" i="2" s="1"/>
  <c r="W513" i="2" s="1"/>
  <c r="W485" i="2"/>
  <c r="W484" i="2" s="1"/>
  <c r="W483" i="2" s="1"/>
  <c r="Q485" i="2"/>
  <c r="Q484" i="2" s="1"/>
  <c r="Q483" i="2" s="1"/>
  <c r="K485" i="2"/>
  <c r="K484" i="2" s="1"/>
  <c r="K483" i="2" s="1"/>
  <c r="Y494" i="2"/>
  <c r="Y493" i="2" s="1"/>
  <c r="Y492" i="2" s="1"/>
  <c r="Y485" i="2" s="1"/>
  <c r="Y484" i="2" s="1"/>
  <c r="Y483" i="2" s="1"/>
  <c r="O437" i="2"/>
  <c r="P437" i="2" s="1"/>
  <c r="X499" i="2"/>
  <c r="R533" i="2"/>
  <c r="I485" i="2"/>
  <c r="I484" i="2" s="1"/>
  <c r="I483" i="2" s="1"/>
  <c r="R501" i="2"/>
  <c r="R500" i="2" s="1"/>
  <c r="R499" i="2" s="1"/>
  <c r="V485" i="2"/>
  <c r="V484" i="2" s="1"/>
  <c r="V483" i="2" s="1"/>
  <c r="O436" i="2"/>
  <c r="P436" i="2" s="1"/>
  <c r="Q436" i="2" s="1"/>
  <c r="X421" i="2"/>
  <c r="S392" i="2"/>
  <c r="S391" i="2" s="1"/>
  <c r="P409" i="2"/>
  <c r="P408" i="2" s="1"/>
  <c r="P407" i="2" s="1"/>
  <c r="Q409" i="2"/>
  <c r="Q408" i="2" s="1"/>
  <c r="Q407" i="2" s="1"/>
  <c r="Y409" i="2"/>
  <c r="Y408" i="2" s="1"/>
  <c r="Y407" i="2" s="1"/>
  <c r="P399" i="2"/>
  <c r="P398" i="2" s="1"/>
  <c r="X399" i="2"/>
  <c r="X398" i="2" s="1"/>
  <c r="R399" i="2"/>
  <c r="R398" i="2" s="1"/>
  <c r="Q392" i="2"/>
  <c r="Q391" i="2" s="1"/>
  <c r="Y359" i="2"/>
  <c r="Y358" i="2" s="1"/>
  <c r="Y294" i="2"/>
  <c r="K294" i="2"/>
  <c r="U294" i="2"/>
  <c r="O294" i="2"/>
  <c r="T302" i="2"/>
  <c r="T301" i="2" s="1"/>
  <c r="T294" i="2" s="1"/>
  <c r="Q294" i="2"/>
  <c r="Y237" i="2"/>
  <c r="Y202" i="2"/>
  <c r="K142" i="2"/>
  <c r="K141" i="2" s="1"/>
  <c r="O142" i="2"/>
  <c r="P142" i="2"/>
  <c r="P116" i="2"/>
  <c r="P115" i="2" s="1"/>
  <c r="P114" i="2" s="1"/>
  <c r="Y123" i="2"/>
  <c r="Y122" i="2" s="1"/>
  <c r="R116" i="2"/>
  <c r="R115" i="2" s="1"/>
  <c r="R114" i="2" s="1"/>
  <c r="Y85" i="2"/>
  <c r="T471" i="2"/>
  <c r="K471" i="2"/>
  <c r="V471" i="2"/>
  <c r="O471" i="2"/>
  <c r="P471" i="2"/>
  <c r="X471" i="2"/>
  <c r="Y342" i="2"/>
  <c r="Y341" i="2" s="1"/>
  <c r="S158" i="2"/>
  <c r="S157" i="2" s="1"/>
  <c r="U158" i="2"/>
  <c r="U157" i="2" s="1"/>
  <c r="S176" i="2"/>
  <c r="Y146" i="2"/>
  <c r="Y145" i="2" s="1"/>
  <c r="Y144" i="2" s="1"/>
  <c r="Y143" i="2" s="1"/>
  <c r="P176" i="2"/>
  <c r="W158" i="2"/>
  <c r="W157" i="2" s="1"/>
  <c r="W142" i="2"/>
  <c r="W176" i="2"/>
  <c r="V142" i="2"/>
  <c r="J141" i="2"/>
  <c r="T158" i="2"/>
  <c r="T157" i="2" s="1"/>
  <c r="R158" i="2"/>
  <c r="R157" i="2" s="1"/>
  <c r="U176" i="2"/>
  <c r="Q226" i="2"/>
  <c r="K226" i="2"/>
  <c r="T195" i="2"/>
  <c r="J195" i="2"/>
  <c r="Y195" i="2"/>
  <c r="X176" i="2"/>
  <c r="K163" i="2"/>
  <c r="Y176" i="2"/>
  <c r="Y167" i="2"/>
  <c r="Y166" i="2" s="1"/>
  <c r="Y165" i="2" s="1"/>
  <c r="Y164" i="2" s="1"/>
  <c r="J48" i="2"/>
  <c r="O48" i="2" s="1"/>
  <c r="O195" i="2"/>
  <c r="P195" i="2"/>
  <c r="X195" i="2"/>
  <c r="Y13" i="2"/>
  <c r="Y12" i="2" s="1"/>
  <c r="Y11" i="2" s="1"/>
  <c r="Y10" i="2" s="1"/>
  <c r="Y9" i="2" s="1"/>
  <c r="T21" i="2"/>
  <c r="O20" i="2"/>
  <c r="T20" i="2" s="1"/>
  <c r="R36" i="2"/>
  <c r="J13" i="2"/>
  <c r="J12" i="2" s="1"/>
  <c r="J11" i="2" s="1"/>
  <c r="J10" i="2" s="1"/>
  <c r="J9" i="2" s="1"/>
  <c r="T22" i="2"/>
  <c r="Q90" i="2"/>
  <c r="Q84" i="2" s="1"/>
  <c r="J118" i="2"/>
  <c r="J117" i="2" s="1"/>
  <c r="J116" i="2" s="1"/>
  <c r="J115" i="2" s="1"/>
  <c r="J114" i="2" s="1"/>
  <c r="O176" i="2"/>
  <c r="Y66" i="2"/>
  <c r="Y65" i="2" s="1"/>
  <c r="T66" i="2"/>
  <c r="T65" i="2" s="1"/>
  <c r="X98" i="2"/>
  <c r="Y76" i="2"/>
  <c r="I90" i="2"/>
  <c r="I84" i="2" s="1"/>
  <c r="T90" i="2"/>
  <c r="I116" i="2"/>
  <c r="I115" i="2" s="1"/>
  <c r="I114" i="2" s="1"/>
  <c r="Q176" i="2"/>
  <c r="R176" i="2"/>
  <c r="Y131" i="2"/>
  <c r="Y130" i="2" s="1"/>
  <c r="Y116" i="2" s="1"/>
  <c r="Y115" i="2" s="1"/>
  <c r="O202" i="2"/>
  <c r="Y323" i="2"/>
  <c r="Y322" i="2" s="1"/>
  <c r="Y321" i="2" s="1"/>
  <c r="T323" i="2"/>
  <c r="T322" i="2" s="1"/>
  <c r="T321" i="2" s="1"/>
  <c r="V85" i="2"/>
  <c r="S116" i="2"/>
  <c r="S115" i="2" s="1"/>
  <c r="S114" i="2" s="1"/>
  <c r="H141" i="2"/>
  <c r="H140" i="2" s="1"/>
  <c r="V116" i="2"/>
  <c r="V115" i="2" s="1"/>
  <c r="V114" i="2" s="1"/>
  <c r="I141" i="2"/>
  <c r="I140" i="2" s="1"/>
  <c r="U142" i="2"/>
  <c r="T174" i="2"/>
  <c r="T173" i="2" s="1"/>
  <c r="T172" i="2" s="1"/>
  <c r="H202" i="2"/>
  <c r="H192" i="2" s="1"/>
  <c r="H191" i="2" s="1"/>
  <c r="H190" i="2" s="1"/>
  <c r="R321" i="2"/>
  <c r="R320" i="2" s="1"/>
  <c r="R314" i="2" s="1"/>
  <c r="J226" i="2"/>
  <c r="X242" i="2"/>
  <c r="X237" i="2" s="1"/>
  <c r="R294" i="2"/>
  <c r="X321" i="2"/>
  <c r="S321" i="2"/>
  <c r="S320" i="2" s="1"/>
  <c r="S314" i="2" s="1"/>
  <c r="K362" i="2"/>
  <c r="K361" i="2" s="1"/>
  <c r="H321" i="2"/>
  <c r="H320" i="2" s="1"/>
  <c r="H314" i="2" s="1"/>
  <c r="V237" i="2"/>
  <c r="V223" i="2" s="1"/>
  <c r="V222" i="2" s="1"/>
  <c r="V221" i="2" s="1"/>
  <c r="H286" i="2"/>
  <c r="S286" i="2"/>
  <c r="O342" i="2"/>
  <c r="O341" i="2" s="1"/>
  <c r="W342" i="2"/>
  <c r="W341" i="2" s="1"/>
  <c r="U188" i="2"/>
  <c r="S202" i="2"/>
  <c r="K237" i="2"/>
  <c r="T150" i="2"/>
  <c r="T202" i="2"/>
  <c r="Y226" i="2"/>
  <c r="P237" i="2"/>
  <c r="J286" i="2"/>
  <c r="U286" i="2"/>
  <c r="P321" i="2"/>
  <c r="P320" i="2" s="1"/>
  <c r="P314" i="2" s="1"/>
  <c r="Y291" i="2"/>
  <c r="P368" i="2"/>
  <c r="P362" i="2" s="1"/>
  <c r="P361" i="2" s="1"/>
  <c r="X368" i="2"/>
  <c r="X362" i="2" s="1"/>
  <c r="X361" i="2" s="1"/>
  <c r="Y382" i="2"/>
  <c r="Y379" i="2" s="1"/>
  <c r="Y378" i="2" s="1"/>
  <c r="Y377" i="2" s="1"/>
  <c r="Y376" i="2" s="1"/>
  <c r="Y375" i="2" s="1"/>
  <c r="O392" i="2"/>
  <c r="O391" i="2" s="1"/>
  <c r="W392" i="2"/>
  <c r="W391" i="2" s="1"/>
  <c r="X342" i="2"/>
  <c r="X341" i="2" s="1"/>
  <c r="U392" i="2"/>
  <c r="U391" i="2" s="1"/>
  <c r="Y392" i="2"/>
  <c r="Y391" i="2" s="1"/>
  <c r="Y431" i="2"/>
  <c r="V342" i="2"/>
  <c r="V341" i="2" s="1"/>
  <c r="K368" i="2"/>
  <c r="V368" i="2"/>
  <c r="V362" i="2" s="1"/>
  <c r="V361" i="2" s="1"/>
  <c r="R409" i="2"/>
  <c r="R408" i="2" s="1"/>
  <c r="R407" i="2" s="1"/>
  <c r="H485" i="2"/>
  <c r="H484" i="2" s="1"/>
  <c r="H483" i="2" s="1"/>
  <c r="P485" i="2"/>
  <c r="P484" i="2" s="1"/>
  <c r="P483" i="2" s="1"/>
  <c r="X485" i="2"/>
  <c r="X484" i="2" s="1"/>
  <c r="X483" i="2" s="1"/>
  <c r="R456" i="2"/>
  <c r="O485" i="2"/>
  <c r="O484" i="2" s="1"/>
  <c r="O483" i="2" s="1"/>
  <c r="J500" i="2"/>
  <c r="J499" i="2" s="1"/>
  <c r="U499" i="2"/>
  <c r="S485" i="2"/>
  <c r="S484" i="2" s="1"/>
  <c r="S483" i="2" s="1"/>
  <c r="T421" i="2"/>
  <c r="J471" i="2"/>
  <c r="U471" i="2"/>
  <c r="J485" i="2"/>
  <c r="J484" i="2" s="1"/>
  <c r="J483" i="2" s="1"/>
  <c r="T520" i="2"/>
  <c r="S569" i="2"/>
  <c r="S552" i="2" s="1"/>
  <c r="P449" i="2"/>
  <c r="P448" i="2" s="1"/>
  <c r="X449" i="2"/>
  <c r="X448" i="2" s="1"/>
  <c r="J552" i="2"/>
  <c r="W471" i="2"/>
  <c r="Q471" i="2"/>
  <c r="V515" i="2"/>
  <c r="V514" i="2" s="1"/>
  <c r="V513" i="2" s="1"/>
  <c r="K552" i="2"/>
  <c r="X520" i="2"/>
  <c r="Y520" i="2"/>
  <c r="K456" i="2"/>
  <c r="Y466" i="2"/>
  <c r="Y465" i="2" s="1"/>
  <c r="T466" i="2"/>
  <c r="T465" i="2" s="1"/>
  <c r="Y471" i="2"/>
  <c r="U485" i="2"/>
  <c r="U484" i="2" s="1"/>
  <c r="U483" i="2" s="1"/>
  <c r="U520" i="2"/>
  <c r="I533" i="2"/>
  <c r="P569" i="2"/>
  <c r="Y548" i="2"/>
  <c r="Y547" i="2" s="1"/>
  <c r="Y546" i="2" s="1"/>
  <c r="Y533" i="2" s="1"/>
  <c r="Y573" i="2"/>
  <c r="Y572" i="2" s="1"/>
  <c r="Y571" i="2" s="1"/>
  <c r="Y570" i="2" s="1"/>
  <c r="T572" i="2"/>
  <c r="T570" i="2" s="1"/>
  <c r="T649" i="2"/>
  <c r="T648" i="2" s="1"/>
  <c r="T643" i="2" s="1"/>
  <c r="T642" i="2" s="1"/>
  <c r="O648" i="2"/>
  <c r="O643" i="2" s="1"/>
  <c r="O642" i="2" s="1"/>
  <c r="O569" i="2"/>
  <c r="O552" i="2" s="1"/>
  <c r="Y582" i="2"/>
  <c r="I598" i="2"/>
  <c r="I617" i="2"/>
  <c r="O617" i="2"/>
  <c r="J631" i="2"/>
  <c r="J630" i="2" s="1"/>
  <c r="O527" i="2"/>
  <c r="O520" i="2" s="1"/>
  <c r="W559" i="2"/>
  <c r="W558" i="2" s="1"/>
  <c r="W553" i="2" s="1"/>
  <c r="V589" i="2"/>
  <c r="V585" i="2" s="1"/>
  <c r="J617" i="2"/>
  <c r="K631" i="2"/>
  <c r="K630" i="2" s="1"/>
  <c r="O610" i="2"/>
  <c r="O605" i="2" s="1"/>
  <c r="O604" i="2" s="1"/>
  <c r="O598" i="2" s="1"/>
  <c r="T611" i="2"/>
  <c r="P631" i="2"/>
  <c r="P630" i="2" s="1"/>
  <c r="W633" i="2"/>
  <c r="W632" i="2" s="1"/>
  <c r="W631" i="2" s="1"/>
  <c r="W630" i="2" s="1"/>
  <c r="X141" i="2" l="1"/>
  <c r="X28" i="2"/>
  <c r="U192" i="2"/>
  <c r="U191" i="2" s="1"/>
  <c r="U190" i="2" s="1"/>
  <c r="T10" i="2"/>
  <c r="T9" i="2" s="1"/>
  <c r="P223" i="2"/>
  <c r="P222" i="2" s="1"/>
  <c r="P221" i="2" s="1"/>
  <c r="O163" i="2"/>
  <c r="X223" i="2"/>
  <c r="X222" i="2" s="1"/>
  <c r="X221" i="2" s="1"/>
  <c r="S163" i="2"/>
  <c r="O60" i="2"/>
  <c r="P163" i="2"/>
  <c r="P192" i="2"/>
  <c r="P191" i="2" s="1"/>
  <c r="P190" i="2" s="1"/>
  <c r="X60" i="2"/>
  <c r="S192" i="2"/>
  <c r="S191" i="2" s="1"/>
  <c r="S190" i="2" s="1"/>
  <c r="W320" i="2"/>
  <c r="W314" i="2" s="1"/>
  <c r="R283" i="2"/>
  <c r="R282" i="2" s="1"/>
  <c r="R281" i="2" s="1"/>
  <c r="X283" i="2"/>
  <c r="X282" i="2" s="1"/>
  <c r="X281" i="2" s="1"/>
  <c r="V84" i="2"/>
  <c r="W283" i="2"/>
  <c r="W282" i="2" s="1"/>
  <c r="W281" i="2" s="1"/>
  <c r="Y456" i="2"/>
  <c r="Y417" i="2" s="1"/>
  <c r="U320" i="2"/>
  <c r="U314" i="2" s="1"/>
  <c r="O223" i="2"/>
  <c r="O222" i="2" s="1"/>
  <c r="O221" i="2" s="1"/>
  <c r="R223" i="2"/>
  <c r="R222" i="2" s="1"/>
  <c r="R221" i="2" s="1"/>
  <c r="J192" i="2"/>
  <c r="J191" i="2" s="1"/>
  <c r="J190" i="2" s="1"/>
  <c r="I283" i="2"/>
  <c r="I282" i="2" s="1"/>
  <c r="I281" i="2" s="1"/>
  <c r="I189" i="2" s="1"/>
  <c r="I184" i="2" s="1"/>
  <c r="H498" i="2"/>
  <c r="V283" i="2"/>
  <c r="V282" i="2" s="1"/>
  <c r="V281" i="2" s="1"/>
  <c r="V192" i="2"/>
  <c r="V191" i="2" s="1"/>
  <c r="V190" i="2" s="1"/>
  <c r="X84" i="2"/>
  <c r="J223" i="2"/>
  <c r="J222" i="2" s="1"/>
  <c r="J221" i="2" s="1"/>
  <c r="X163" i="2"/>
  <c r="X140" i="2" s="1"/>
  <c r="O141" i="2"/>
  <c r="X192" i="2"/>
  <c r="X191" i="2" s="1"/>
  <c r="X190" i="2" s="1"/>
  <c r="S283" i="2"/>
  <c r="S282" i="2" s="1"/>
  <c r="S281" i="2" s="1"/>
  <c r="W192" i="2"/>
  <c r="W191" i="2" s="1"/>
  <c r="W190" i="2" s="1"/>
  <c r="S141" i="2"/>
  <c r="V141" i="2"/>
  <c r="S223" i="2"/>
  <c r="S222" i="2" s="1"/>
  <c r="S221" i="2" s="1"/>
  <c r="K283" i="2"/>
  <c r="K282" i="2" s="1"/>
  <c r="K281" i="2" s="1"/>
  <c r="V320" i="2"/>
  <c r="V314" i="2" s="1"/>
  <c r="U60" i="2"/>
  <c r="Q192" i="2"/>
  <c r="Q191" i="2" s="1"/>
  <c r="Q190" i="2" s="1"/>
  <c r="U552" i="2"/>
  <c r="P283" i="2"/>
  <c r="P282" i="2" s="1"/>
  <c r="P281" i="2" s="1"/>
  <c r="Y28" i="2"/>
  <c r="R612" i="2"/>
  <c r="U84" i="2"/>
  <c r="T223" i="2"/>
  <c r="T222" i="2" s="1"/>
  <c r="T221" i="2" s="1"/>
  <c r="W84" i="2"/>
  <c r="R163" i="2"/>
  <c r="Q163" i="2"/>
  <c r="V60" i="2"/>
  <c r="R141" i="2"/>
  <c r="P141" i="2"/>
  <c r="P498" i="2"/>
  <c r="O320" i="2"/>
  <c r="O314" i="2" s="1"/>
  <c r="T320" i="2"/>
  <c r="T314" i="2" s="1"/>
  <c r="Y651" i="2"/>
  <c r="Y650" i="2" s="1"/>
  <c r="I417" i="2"/>
  <c r="I390" i="2" s="1"/>
  <c r="R192" i="2"/>
  <c r="R191" i="2" s="1"/>
  <c r="R190" i="2" s="1"/>
  <c r="Q283" i="2"/>
  <c r="Q282" i="2" s="1"/>
  <c r="Q281" i="2" s="1"/>
  <c r="P612" i="2"/>
  <c r="Y223" i="2"/>
  <c r="Y222" i="2" s="1"/>
  <c r="Y221" i="2" s="1"/>
  <c r="U163" i="2"/>
  <c r="H417" i="2"/>
  <c r="H390" i="2" s="1"/>
  <c r="K498" i="2"/>
  <c r="V163" i="2"/>
  <c r="O498" i="2"/>
  <c r="J283" i="2"/>
  <c r="J282" i="2" s="1"/>
  <c r="J281" i="2" s="1"/>
  <c r="K192" i="2"/>
  <c r="K191" i="2" s="1"/>
  <c r="K190" i="2" s="1"/>
  <c r="W612" i="2"/>
  <c r="W163" i="2"/>
  <c r="Q612" i="2"/>
  <c r="W60" i="2"/>
  <c r="Y286" i="2"/>
  <c r="Y283" i="2" s="1"/>
  <c r="Y282" i="2" s="1"/>
  <c r="Y281" i="2" s="1"/>
  <c r="T286" i="2"/>
  <c r="T283" i="2" s="1"/>
  <c r="T282" i="2" s="1"/>
  <c r="T281" i="2" s="1"/>
  <c r="W223" i="2"/>
  <c r="W222" i="2" s="1"/>
  <c r="W221" i="2" s="1"/>
  <c r="W552" i="2"/>
  <c r="U612" i="2"/>
  <c r="K417" i="2"/>
  <c r="K390" i="2" s="1"/>
  <c r="P552" i="2"/>
  <c r="U283" i="2"/>
  <c r="U282" i="2" s="1"/>
  <c r="U281" i="2" s="1"/>
  <c r="O192" i="2"/>
  <c r="O191" i="2" s="1"/>
  <c r="O190" i="2" s="1"/>
  <c r="W417" i="2"/>
  <c r="W390" i="2" s="1"/>
  <c r="H283" i="2"/>
  <c r="H282" i="2" s="1"/>
  <c r="H281" i="2" s="1"/>
  <c r="H189" i="2" s="1"/>
  <c r="H184" i="2" s="1"/>
  <c r="Y84" i="2"/>
  <c r="O283" i="2"/>
  <c r="O282" i="2" s="1"/>
  <c r="O281" i="2" s="1"/>
  <c r="T60" i="2"/>
  <c r="Q141" i="2"/>
  <c r="Q498" i="2"/>
  <c r="T456" i="2"/>
  <c r="S612" i="2"/>
  <c r="T98" i="2"/>
  <c r="T84" i="2" s="1"/>
  <c r="V417" i="2"/>
  <c r="V390" i="2" s="1"/>
  <c r="I612" i="2"/>
  <c r="X612" i="2"/>
  <c r="T576" i="2"/>
  <c r="T575" i="2" s="1"/>
  <c r="T574" i="2" s="1"/>
  <c r="T569" i="2" s="1"/>
  <c r="T552" i="2" s="1"/>
  <c r="Y577" i="2"/>
  <c r="Y576" i="2" s="1"/>
  <c r="Y575" i="2" s="1"/>
  <c r="Y574" i="2" s="1"/>
  <c r="Y569" i="2" s="1"/>
  <c r="Y552" i="2" s="1"/>
  <c r="J140" i="2"/>
  <c r="O417" i="2"/>
  <c r="O390" i="2" s="1"/>
  <c r="Q223" i="2"/>
  <c r="Q222" i="2" s="1"/>
  <c r="Q221" i="2" s="1"/>
  <c r="T612" i="2"/>
  <c r="J498" i="2"/>
  <c r="K223" i="2"/>
  <c r="K222" i="2" s="1"/>
  <c r="K221" i="2" s="1"/>
  <c r="T192" i="2"/>
  <c r="T191" i="2" s="1"/>
  <c r="T190" i="2" s="1"/>
  <c r="J612" i="2"/>
  <c r="X552" i="2"/>
  <c r="U417" i="2"/>
  <c r="U390" i="2" s="1"/>
  <c r="Y114" i="2"/>
  <c r="J46" i="2"/>
  <c r="J28" i="2" s="1"/>
  <c r="J27" i="2" s="1"/>
  <c r="J26" i="2" s="1"/>
  <c r="J25" i="2" s="1"/>
  <c r="J24" i="2" s="1"/>
  <c r="V612" i="2"/>
  <c r="K612" i="2"/>
  <c r="O612" i="2"/>
  <c r="I498" i="2"/>
  <c r="J417" i="2"/>
  <c r="J390" i="2" s="1"/>
  <c r="Y612" i="2"/>
  <c r="W498" i="2"/>
  <c r="X417" i="2"/>
  <c r="X390" i="2" s="1"/>
  <c r="Q437" i="2"/>
  <c r="R437" i="2" s="1"/>
  <c r="S437" i="2" s="1"/>
  <c r="T437" i="2" s="1"/>
  <c r="V498" i="2"/>
  <c r="Y142" i="2"/>
  <c r="Y141" i="2" s="1"/>
  <c r="X498" i="2"/>
  <c r="T163" i="2"/>
  <c r="S498" i="2"/>
  <c r="T498" i="2"/>
  <c r="R498" i="2"/>
  <c r="K140" i="2"/>
  <c r="P417" i="2"/>
  <c r="P390" i="2" s="1"/>
  <c r="U141" i="2"/>
  <c r="Y192" i="2"/>
  <c r="Y191" i="2" s="1"/>
  <c r="Y190" i="2" s="1"/>
  <c r="Y60" i="2"/>
  <c r="Q417" i="2"/>
  <c r="Q390" i="2" s="1"/>
  <c r="Y320" i="2"/>
  <c r="Y314" i="2" s="1"/>
  <c r="K27" i="2"/>
  <c r="K26" i="2" s="1"/>
  <c r="K25" i="2" s="1"/>
  <c r="K24" i="2" s="1"/>
  <c r="Y163" i="2"/>
  <c r="W141" i="2"/>
  <c r="I27" i="2"/>
  <c r="I26" i="2" s="1"/>
  <c r="I25" i="2" s="1"/>
  <c r="I24" i="2" s="1"/>
  <c r="H27" i="2"/>
  <c r="H26" i="2" s="1"/>
  <c r="H25" i="2" s="1"/>
  <c r="H24" i="2" s="1"/>
  <c r="V552" i="2"/>
  <c r="X320" i="2"/>
  <c r="X314" i="2" s="1"/>
  <c r="U187" i="2"/>
  <c r="U186" i="2" s="1"/>
  <c r="U185" i="2" s="1"/>
  <c r="V188" i="2"/>
  <c r="V187" i="2" s="1"/>
  <c r="V186" i="2" s="1"/>
  <c r="V185" i="2" s="1"/>
  <c r="P48" i="2"/>
  <c r="Q48" i="2" s="1"/>
  <c r="Q46" i="2" s="1"/>
  <c r="Q28" i="2" s="1"/>
  <c r="Q27" i="2" s="1"/>
  <c r="Q26" i="2" s="1"/>
  <c r="Q25" i="2" s="1"/>
  <c r="Q24" i="2" s="1"/>
  <c r="O46" i="2"/>
  <c r="O28" i="2" s="1"/>
  <c r="Y610" i="2"/>
  <c r="T610" i="2"/>
  <c r="T605" i="2" s="1"/>
  <c r="T604" i="2" s="1"/>
  <c r="T598" i="2" s="1"/>
  <c r="U498" i="2"/>
  <c r="R436" i="2"/>
  <c r="S436" i="2" s="1"/>
  <c r="S417" i="2" s="1"/>
  <c r="S390" i="2" s="1"/>
  <c r="Y498" i="2"/>
  <c r="T142" i="2"/>
  <c r="T141" i="2" s="1"/>
  <c r="O10" i="2"/>
  <c r="O9" i="2" s="1"/>
  <c r="P189" i="2" l="1"/>
  <c r="P184" i="2" s="1"/>
  <c r="X27" i="2"/>
  <c r="X26" i="2" s="1"/>
  <c r="X25" i="2" s="1"/>
  <c r="X24" i="2" s="1"/>
  <c r="O27" i="2"/>
  <c r="O26" i="2" s="1"/>
  <c r="O25" i="2" s="1"/>
  <c r="O24" i="2" s="1"/>
  <c r="O140" i="2"/>
  <c r="P140" i="2"/>
  <c r="X189" i="2"/>
  <c r="V27" i="2"/>
  <c r="V26" i="2" s="1"/>
  <c r="V25" i="2" s="1"/>
  <c r="V24" i="2" s="1"/>
  <c r="S140" i="2"/>
  <c r="R189" i="2"/>
  <c r="R184" i="2" s="1"/>
  <c r="V189" i="2"/>
  <c r="V184" i="2" s="1"/>
  <c r="U140" i="2"/>
  <c r="H389" i="2"/>
  <c r="H673" i="2" s="1"/>
  <c r="U189" i="2"/>
  <c r="U184" i="2" s="1"/>
  <c r="Q140" i="2"/>
  <c r="W189" i="2"/>
  <c r="J189" i="2"/>
  <c r="J184" i="2" s="1"/>
  <c r="W27" i="2"/>
  <c r="W26" i="2" s="1"/>
  <c r="W25" i="2" s="1"/>
  <c r="W24" i="2" s="1"/>
  <c r="S189" i="2"/>
  <c r="S184" i="2" s="1"/>
  <c r="R140" i="2"/>
  <c r="V140" i="2"/>
  <c r="I389" i="2"/>
  <c r="I673" i="2" s="1"/>
  <c r="Q189" i="2"/>
  <c r="Q184" i="2" s="1"/>
  <c r="U27" i="2"/>
  <c r="U26" i="2" s="1"/>
  <c r="U25" i="2" s="1"/>
  <c r="U24" i="2" s="1"/>
  <c r="Q389" i="2"/>
  <c r="Y27" i="2"/>
  <c r="Y26" i="2" s="1"/>
  <c r="Y25" i="2" s="1"/>
  <c r="Y24" i="2" s="1"/>
  <c r="O189" i="2"/>
  <c r="O184" i="2" s="1"/>
  <c r="W140" i="2"/>
  <c r="S389" i="2"/>
  <c r="K389" i="2"/>
  <c r="K189" i="2"/>
  <c r="K184" i="2" s="1"/>
  <c r="W389" i="2"/>
  <c r="T189" i="2"/>
  <c r="T184" i="2" s="1"/>
  <c r="P389" i="2"/>
  <c r="V389" i="2"/>
  <c r="J389" i="2"/>
  <c r="O389" i="2"/>
  <c r="Y605" i="2"/>
  <c r="Y604" i="2" s="1"/>
  <c r="X389" i="2"/>
  <c r="T140" i="2"/>
  <c r="Y390" i="2"/>
  <c r="Y189" i="2"/>
  <c r="Y140" i="2"/>
  <c r="R48" i="2"/>
  <c r="R46" i="2" s="1"/>
  <c r="R28" i="2" s="1"/>
  <c r="R27" i="2" s="1"/>
  <c r="R26" i="2" s="1"/>
  <c r="R25" i="2" s="1"/>
  <c r="R24" i="2" s="1"/>
  <c r="P46" i="2"/>
  <c r="P28" i="2" s="1"/>
  <c r="P27" i="2" s="1"/>
  <c r="P26" i="2" s="1"/>
  <c r="P25" i="2" s="1"/>
  <c r="P24" i="2" s="1"/>
  <c r="R417" i="2"/>
  <c r="R390" i="2" s="1"/>
  <c r="R389" i="2" s="1"/>
  <c r="T436" i="2"/>
  <c r="T417" i="2" s="1"/>
  <c r="T390" i="2" s="1"/>
  <c r="T389" i="2" s="1"/>
  <c r="W188" i="2"/>
  <c r="U389" i="2"/>
  <c r="J673" i="2" l="1"/>
  <c r="P673" i="2"/>
  <c r="P677" i="2" s="1"/>
  <c r="Q673" i="2"/>
  <c r="O673" i="2"/>
  <c r="O679" i="2" s="1"/>
  <c r="K673" i="2"/>
  <c r="L677" i="2" s="1"/>
  <c r="V673" i="2"/>
  <c r="Y598" i="2"/>
  <c r="Y389" i="2" s="1"/>
  <c r="AB389" i="2" s="1"/>
  <c r="Z314" i="2"/>
  <c r="U673" i="2"/>
  <c r="W187" i="2"/>
  <c r="W186" i="2" s="1"/>
  <c r="W185" i="2" s="1"/>
  <c r="W184" i="2" s="1"/>
  <c r="W673" i="2" s="1"/>
  <c r="R673" i="2"/>
  <c r="S48" i="2"/>
  <c r="S46" i="2" s="1"/>
  <c r="S28" i="2" s="1"/>
  <c r="S27" i="2" s="1"/>
  <c r="S26" i="2" s="1"/>
  <c r="S25" i="2" s="1"/>
  <c r="S24" i="2" s="1"/>
  <c r="S673" i="2" s="1"/>
  <c r="X188" i="2"/>
  <c r="X187" i="2" s="1"/>
  <c r="X186" i="2" s="1"/>
  <c r="X185" i="2" s="1"/>
  <c r="X184" i="2" s="1"/>
  <c r="X673" i="2" s="1"/>
  <c r="X676" i="2" s="1"/>
  <c r="Q676" i="2" l="1"/>
  <c r="V676" i="2"/>
  <c r="R678" i="2"/>
  <c r="Y188" i="2"/>
  <c r="Y187" i="2" s="1"/>
  <c r="Y186" i="2" s="1"/>
  <c r="Y185" i="2" s="1"/>
  <c r="Y184" i="2" s="1"/>
  <c r="Y673" i="2" s="1"/>
  <c r="T48" i="2"/>
  <c r="T46" i="2" s="1"/>
  <c r="T28" i="2" s="1"/>
  <c r="T27" i="2" s="1"/>
  <c r="T26" i="2" s="1"/>
  <c r="T25" i="2" s="1"/>
  <c r="T24" i="2" s="1"/>
  <c r="T673" i="2" s="1"/>
</calcChain>
</file>

<file path=xl/sharedStrings.xml><?xml version="1.0" encoding="utf-8"?>
<sst xmlns="http://schemas.openxmlformats.org/spreadsheetml/2006/main" count="2892" uniqueCount="669">
  <si>
    <t xml:space="preserve">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" 21 "  декабря 2023 года № 123                                               </t>
  </si>
  <si>
    <t>Ведомственная структура расходов бюджета муниципального образования "Гиагинский район" на 2024 год</t>
  </si>
  <si>
    <t>тысяч рублей</t>
  </si>
  <si>
    <t>№ п/п</t>
  </si>
  <si>
    <t>Наименование</t>
  </si>
  <si>
    <t>Код прямого получа-теля</t>
  </si>
  <si>
    <t>Раздел</t>
  </si>
  <si>
    <t>Под-раздел</t>
  </si>
  <si>
    <t>Целевая статья расходов</t>
  </si>
  <si>
    <t>Вид расходов</t>
  </si>
  <si>
    <t>Бюджет МО</t>
  </si>
  <si>
    <t>Бюджет РА</t>
  </si>
  <si>
    <t>ВСЕГО     МБ          на 2022 год</t>
  </si>
  <si>
    <t>увеличение за счет остатков</t>
  </si>
  <si>
    <t>увеличение  (налоговые и неналоговые доходы)</t>
  </si>
  <si>
    <t>безвозмезные</t>
  </si>
  <si>
    <t xml:space="preserve">Сумма на 2023год         МБ        </t>
  </si>
  <si>
    <t>Бюджет РА, сп</t>
  </si>
  <si>
    <t xml:space="preserve">Сумма на 2024год                 </t>
  </si>
  <si>
    <t>перемещение     ( уточнение)</t>
  </si>
  <si>
    <t>Совет народных депутатов муниципального образования "Гиагинский район"</t>
  </si>
  <si>
    <t/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</si>
  <si>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</si>
  <si>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</si>
  <si>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</si>
  <si>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</si>
  <si>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</t>
  </si>
  <si>
    <t>71 0 00 00000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</si>
  <si>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</si>
  <si>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</si>
  <si>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</si>
  <si>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</si>
  <si>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</si>
  <si>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</si>
  <si>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органами местного самоуправления</t>
  </si>
  <si>
    <t>71 2 00 00400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</si>
  <si>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</si>
  <si>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</si>
  <si>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</si>
  <si>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</si>
  <si>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</si>
  <si>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Реализация иных мероприятий в рамках непрограммных расходов муниципального образования «Гиагинский район»</t>
  </si>
  <si>
    <t>72 0 00 00000</t>
  </si>
  <si>
    <t>Выплата единовременного поощрения в связи с выходом на муниципальную пенсию за выслугу лет</t>
  </si>
  <si>
    <t>72 0 02 00000</t>
  </si>
  <si>
    <t>Социальное обеспечение и иные выплаты населению</t>
  </si>
  <si>
    <t>Управление культуры администрации муниципального образования "Гиагинский район"</t>
  </si>
  <si>
    <t>Культура и кинематография</t>
  </si>
  <si>
    <t>08</t>
  </si>
  <si>
    <t>Культура</t>
  </si>
  <si>
    <t>Муниципальная программа муниципального образования  «Гиагинский район» «Развитие культуры и искусства»</t>
  </si>
  <si>
    <t>63 0 00 00000</t>
  </si>
  <si>
    <t>Подпрограмма «Сохранение и развитие культурно-досуговой деятельности»</t>
  </si>
  <si>
    <t>63 1 00 00000</t>
  </si>
  <si>
    <t>Обеспечение безопасности в учреждениях культуры</t>
  </si>
  <si>
    <t>63 1 01 00000</t>
  </si>
  <si>
    <t>Предоставление субсидий бюджетным, автономным учреждениям и иным некоммерческим организациям</t>
  </si>
  <si>
    <t xml:space="preserve"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</t>
  </si>
  <si>
    <t>63 1 02 00000</t>
  </si>
  <si>
    <t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 за счет средств муниципального образования "Гиагинский район"</t>
  </si>
  <si>
    <t>63 1 02 00010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</si>
  <si>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</si>
  <si>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</si>
  <si>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Обеспечение деятельности подведомственного бюджетного учреждения</t>
  </si>
  <si>
    <t>63 1 03 00000</t>
  </si>
  <si>
    <t>Обеспечение деятельности (оказание услуг) подведомственных муниципальных бюджетных учреждений</t>
  </si>
  <si>
    <t>63 1 03 00600</t>
  </si>
  <si>
    <t>600</t>
  </si>
  <si>
    <t>Частичная компенсация дополнительных расходов на повышение оплаты труда работников бюджетной сферы</t>
  </si>
  <si>
    <t>63 1 03 S0550</t>
  </si>
  <si>
    <t>Развитие национальнх культур</t>
  </si>
  <si>
    <t>63 1 04 00000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</si>
  <si>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</si>
  <si>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63 1 05 00000</t>
  </si>
  <si>
    <t>Компенсационные выплаты на оплату жилья и коммунальных услуг</t>
  </si>
  <si>
    <t>63 1 05 69010</t>
  </si>
  <si>
    <t>Благоустройство территории учреждений культуры</t>
  </si>
  <si>
    <t>63 1 06 00000</t>
  </si>
  <si>
    <t>Поддержка отрасли культуры (муниципальная поддержка лучших сельских учреждений культуры)</t>
  </si>
  <si>
    <t>63 1 06 L5195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</si>
  <si>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</si>
  <si>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</si>
  <si>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63 1 А1 00000</t>
  </si>
  <si>
    <t>Развитие сети учреждений культурно-досуговой деятельности</t>
  </si>
  <si>
    <t>63 1 А1 55130</t>
  </si>
  <si>
    <t>Государственная поддержка отрасли культуры</t>
  </si>
  <si>
    <t>63 1 А2 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</si>
  <si>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</si>
  <si>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63 1 А2 55195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</si>
  <si>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</si>
  <si>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</si>
  <si>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Подпрограмма «Сохранение и развитие музейного дела»</t>
  </si>
  <si>
    <t>63 2 00 00000</t>
  </si>
  <si>
    <t>63 2 01 00000</t>
  </si>
  <si>
    <t>63 2 02 00000</t>
  </si>
  <si>
    <t>63 2 03 00000</t>
  </si>
  <si>
    <t>63 2 03 00600</t>
  </si>
  <si>
    <t>63 2 03 S0550</t>
  </si>
  <si>
    <t>63 2 04 00000</t>
  </si>
  <si>
    <t>63 2 04 69010</t>
  </si>
  <si>
    <t xml:space="preserve">Поддержка отрасли культуры </t>
  </si>
  <si>
    <t>63 2 05 00000</t>
  </si>
  <si>
    <t>63 2 05 L5195</t>
  </si>
  <si>
    <t>63 2 А2 00000</t>
  </si>
  <si>
    <t>63 2 А2 55195</t>
  </si>
  <si>
    <t>63 2 А2 55196</t>
  </si>
  <si>
    <t>Техническое оснащение музеев</t>
  </si>
  <si>
    <t>63 2 А1 00000</t>
  </si>
  <si>
    <t>Техническое оснащение муниципальных музеев</t>
  </si>
  <si>
    <t>63 2 А1 55900</t>
  </si>
  <si>
    <t>Подпрограмма «Сохранение и развитие библиотечного обслуживания»</t>
  </si>
  <si>
    <t>63 3 00 00000</t>
  </si>
  <si>
    <t>63 3 02 00000</t>
  </si>
  <si>
    <t>Укрепление и развитие материально-технической базы, включая капитальный, текущий ремонт, восстановление, реконструкцию, строительство зданий и помещений, обеспечение их современным оборудованием  за счет средств бюджета муниципального образования "Гиагинский район"</t>
  </si>
  <si>
    <t>63 3 02 00010</t>
  </si>
  <si>
    <t>63 3 02 00040</t>
  </si>
  <si>
    <t>63 3 03 00000</t>
  </si>
  <si>
    <t>63 3 03 00600</t>
  </si>
  <si>
    <t>63 3 03 S0550</t>
  </si>
  <si>
    <t>63 3 04 00000</t>
  </si>
  <si>
    <t>63 3 04 69010</t>
  </si>
  <si>
    <t>Комплектование библиотечных фондов</t>
  </si>
  <si>
    <t>63 3 05 00000</t>
  </si>
  <si>
    <t>Комплектование библиотечных фондов за счет средств бюджета муниципального образования "Гиагинский район"</t>
  </si>
  <si>
    <t>63 3 05 00010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</si>
  <si>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</si>
  <si>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</si>
  <si>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</si>
  <si>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 3 05 L5194</t>
  </si>
  <si>
    <t>63 3 А2 00000</t>
  </si>
  <si>
    <t>63 3 А2 55195</t>
  </si>
  <si>
    <t xml:space="preserve">Муниципальная программа муниципального образования «Гиагинский район»  «Энергосбережение и повышение энергетической эффективности»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</si>
  <si>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</si>
  <si>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</si>
  <si>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</si>
  <si>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 xml:space="preserve">Муниципальная программа муниципального образования "Гиагинский район"  "Доступная среда" </t>
  </si>
  <si>
    <t>6П 0 00 00000</t>
  </si>
  <si>
    <t>Проведение благотворительных марафонов</t>
  </si>
  <si>
    <t>6П 0 04 00000</t>
  </si>
  <si>
    <t>Другие вопросы в области культуры, кинематографии</t>
  </si>
  <si>
    <t>04</t>
  </si>
  <si>
    <t>Муниципальная программа МО «Гиагинский район» «Развитие культуры и искусства»</t>
  </si>
  <si>
    <t>Подпрограмма «Организационное обеспечение реализации муниципальной программы»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</si>
  <si>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</si>
  <si>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</si>
  <si>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</si>
  <si>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Обеспечение функций органов местного самоуправления</t>
  </si>
  <si>
    <t>63 6 01 00400</t>
  </si>
  <si>
    <t>За достижение показателей деятельности органов местного самоуправления</t>
  </si>
  <si>
    <t>71 0 00 55490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</si>
  <si>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</si>
  <si>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</si>
  <si>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</si>
  <si>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</si>
  <si>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 "Гиагинский район""</t>
  </si>
  <si>
    <t>63 6 03 00000</t>
  </si>
  <si>
    <t>63 6 03 00500</t>
  </si>
  <si>
    <t>63 6 03 S0550</t>
  </si>
  <si>
    <t>63 6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</si>
  <si>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</si>
  <si>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6 А1 55194</t>
  </si>
  <si>
    <t>Управление финансов администрации муниципального образования "Гиагинский район"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</si>
  <si>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</si>
  <si>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</si>
  <si>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муниципального образования  «Гиагинский район» «Управление муниципальными финансами» </t>
  </si>
  <si>
    <t>65 0 00 00000</t>
  </si>
  <si>
    <t>Подпрограмма «Обеспечение реализации муниципальной программы муниципального образования  «Гиагинский район»  «Управление муниципальными  финансами»</t>
  </si>
  <si>
    <t>65 5 00 00000</t>
  </si>
  <si>
    <t>Обеспечение деятельности управления финансов администрации муниципального образования  "Гиагинский район"</t>
  </si>
  <si>
    <t>65 5 01 00000</t>
  </si>
  <si>
    <t>Обеспечение функций государственных органов</t>
  </si>
  <si>
    <t>65 5 01 00400</t>
  </si>
  <si>
    <t>Резервные фонды</t>
  </si>
  <si>
    <t>11</t>
  </si>
  <si>
    <t>Резервные фонды местных администраций</t>
  </si>
  <si>
    <t>72 0 01 00000</t>
  </si>
  <si>
    <t>13</t>
  </si>
  <si>
    <t>Резервные средства на реализацию  отдельных мероприятий и оплату социально значимых затрат</t>
  </si>
  <si>
    <t>72 0 13 00000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</si>
  <si>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</si>
  <si>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</si>
  <si>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</si>
  <si>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программамуниципального образования  «Гиагинский район» «Управление муниципальными финансами» 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</si>
  <si>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</si>
  <si>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</si>
  <si>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</si>
  <si>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</si>
  <si>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республиканского бюджета</t>
  </si>
  <si>
    <t>65 4 01 00010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</si>
  <si>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</si>
  <si>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 "Гиагинский район"</t>
  </si>
  <si>
    <t>65 4 01 00020</t>
  </si>
  <si>
    <t>Иные дотации</t>
  </si>
  <si>
    <t>02</t>
  </si>
  <si>
    <t>Иные межбюджетные трансферты</t>
  </si>
  <si>
    <t>65 4 03 00000</t>
  </si>
  <si>
    <t>Иные межбюджетные трансферты для финансового обеспечения расходных обязательств по решению вопросов местного значения</t>
  </si>
  <si>
    <t>65 4 03 00040</t>
  </si>
  <si>
    <t>Управление образования администрации муниципального образования "Гиагинский район"</t>
  </si>
  <si>
    <t>Образование</t>
  </si>
  <si>
    <t>07</t>
  </si>
  <si>
    <t>Дошкольное образование</t>
  </si>
  <si>
    <t xml:space="preserve">Муниципальная программа муниципального образования  «Гиагинский район» «Развитие образования» </t>
  </si>
  <si>
    <t>62 0 00 00000</t>
  </si>
  <si>
    <t>Подпрограмма «Развитие дошкольного образования»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</si>
  <si>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</si>
  <si>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</si>
  <si>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</si>
  <si>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Развитие  дошкольного образования</t>
  </si>
  <si>
    <t>62 1 03 00000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</si>
  <si>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</si>
  <si>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</si>
  <si>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Проведение конкурсов. фестивалей. мероприятий</t>
  </si>
  <si>
    <t>62 1 03 00020</t>
  </si>
  <si>
    <t>Благоустройство дошкольных учреждений</t>
  </si>
  <si>
    <t>62 1 03 00030</t>
  </si>
  <si>
    <t>62 1 04 00000</t>
  </si>
  <si>
    <t>62 1 04 00600</t>
  </si>
  <si>
    <t>62 1 04 S0550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</si>
  <si>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</si>
  <si>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</si>
  <si>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62 1 05 00000</t>
  </si>
  <si>
    <t>62 1 05 69010</t>
  </si>
  <si>
    <t xml:space="preserve">Муниципальная программа муниципального образования  "Гиагинский район"  "Доступная среда" </t>
  </si>
  <si>
    <t>Обеспечение доступности объектов социальной направленности для инвалидов и других маломобильных групп населения</t>
  </si>
  <si>
    <t>6П 0 01 00000</t>
  </si>
  <si>
    <t>Мероприятия в сфере реабилитации и абилитации инвалидов</t>
  </si>
  <si>
    <t>6П 0 07 00000</t>
  </si>
  <si>
    <t xml:space="preserve">Мероприятия в сфере реабилитации и абилитации инвалидов, за счет средств республиканского бюджета Республики Адыгея </t>
  </si>
  <si>
    <t>6П 0 07 L5140</t>
  </si>
  <si>
    <t>Общее образование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</si>
  <si>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</si>
  <si>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</si>
  <si>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</si>
  <si>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</si>
  <si>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</si>
  <si>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</si>
  <si>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</si>
  <si>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</si>
  <si>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</si>
  <si>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</si>
  <si>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</si>
  <si>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</si>
  <si>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>Благоустройство общеобразовательных организаций</t>
  </si>
  <si>
    <t>62 2 03 00080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</si>
  <si>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</si>
  <si>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</si>
  <si>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62 2 04 00000</t>
  </si>
  <si>
    <t>62 2 04 00600</t>
  </si>
  <si>
    <t>62 2 04 S0550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</si>
  <si>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</si>
  <si>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</si>
  <si>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</si>
  <si>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</si>
  <si>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</si>
  <si>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62 2 06 00010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</si>
  <si>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</si>
  <si>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</si>
  <si>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</si>
  <si>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62 2 09 60220</t>
  </si>
  <si>
    <t xml:space="preserve">Вознаграждение за классное руководство педагогическим работникам   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</si>
  <si>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</si>
  <si>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</si>
  <si>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</si>
  <si>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</si>
  <si>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</si>
  <si>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</si>
  <si>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</si>
  <si>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</si>
  <si>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</si>
  <si>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</si>
  <si>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</si>
  <si>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Мероприятия в рамках регионального проекта "Успех каждого ребенка"</t>
  </si>
  <si>
    <t>62 2 E2 00000</t>
  </si>
  <si>
    <t xml:space="preserve">Создание в общеобразовательных организациях, расположенных в сельской местности, условий для занятий физической культуры и спорта </t>
  </si>
  <si>
    <t>62 2 E2 50970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</si>
  <si>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</si>
  <si>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62 2 E2 50980</t>
  </si>
  <si>
    <t xml:space="preserve">Муниципальная программа муниципального образования  «Гиагинский район»  «Энергосбережение и повышение энергетической эффективности» </t>
  </si>
  <si>
    <t>Муниципальная программа МО "Гиагинский район" "Обеспечение безопасности дорожного движения"</t>
  </si>
  <si>
    <t>6Л 0 00 00000</t>
  </si>
  <si>
    <t xml:space="preserve">Муниципальная программа муниципального образования  "Гиагинский район" "Доступная среда" </t>
  </si>
  <si>
    <t>Муниципальная программа муниципального образования  "Гиагинский район" Улучшение демографической ситуации на территории муниципального образования "Гиагинский район"</t>
  </si>
  <si>
    <t>6У 0 00 00000</t>
  </si>
  <si>
    <t>Повышение материнства, отцовства и детства</t>
  </si>
  <si>
    <t>6У 0 03 00000</t>
  </si>
  <si>
    <t>Дополнительное образование детей</t>
  </si>
  <si>
    <t>Подпрограмма «Развитие дополнительного образования»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</si>
  <si>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</si>
  <si>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</si>
  <si>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</si>
  <si>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</si>
  <si>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</si>
  <si>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62 3 03 S0550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</si>
  <si>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</si>
  <si>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</si>
  <si>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Развитие учреждений дополнительного образования</t>
  </si>
  <si>
    <t>62 3 04 00000</t>
  </si>
  <si>
    <t>Проведение и участие в спортивных соревнованиях, турнирах различных уровней</t>
  </si>
  <si>
    <t>62 3 04 00010</t>
  </si>
  <si>
    <t>Участие в мероприятиях, конкурсах, слетах, олимпиадах, фестивалях, спортивных соревнованиях</t>
  </si>
  <si>
    <t>62 3 04 00030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</si>
  <si>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</si>
  <si>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</si>
  <si>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Поощерение педагогических работников, развивающих творческие способности детей</t>
  </si>
  <si>
    <t>62 3 04 00050</t>
  </si>
  <si>
    <t>62 3 04 00080</t>
  </si>
  <si>
    <t>62 3 05 00000</t>
  </si>
  <si>
    <t>62 3 05 69010</t>
  </si>
  <si>
    <t>Создание в организациях дополнительного образования,  условий для занятий физической культурой и спортом</t>
  </si>
  <si>
    <t>62 3 06 00000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</si>
  <si>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</si>
  <si>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62 3 06 00010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</si>
  <si>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</si>
  <si>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Другие вопросы в области образования</t>
  </si>
  <si>
    <t>09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</si>
  <si>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</si>
  <si>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Муниципальная программа муниципального образования "Гиагинский район" "Развитие образования" </t>
  </si>
  <si>
    <t>Подпрограмма "Организационное и методическое обеспечение реализации муниципальной программы"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</si>
  <si>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</si>
  <si>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</si>
  <si>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</si>
  <si>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62 4 01 00400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</si>
  <si>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</si>
  <si>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</si>
  <si>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</si>
  <si>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</si>
  <si>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</si>
  <si>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</si>
  <si>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</si>
  <si>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Подпрограмма "Развитие дошкольного образования"</t>
  </si>
  <si>
    <t>Развитие дошкольного образования</t>
  </si>
  <si>
    <t>Поощерение педагогических работников, развивающих творческие способности детей и организаций, внедряющих инновационные технологии</t>
  </si>
  <si>
    <t>62 1 03 00040</t>
  </si>
  <si>
    <t>Участие в спортивных соревнованиях, турнирах различных уровней</t>
  </si>
  <si>
    <t>62 2 03 00030</t>
  </si>
  <si>
    <t>Проведение торжественных мероприятий, посвященных чествованию победителей,призеров районных олимпиад, медалистов и выпускников образовательных учреждений</t>
  </si>
  <si>
    <t>62 2 03 00040</t>
  </si>
  <si>
    <t>Выплата стипендий учащимся- победителям республиканских, всероссийских и международных олимпиад, конкусов, соревнований</t>
  </si>
  <si>
    <t>62 2 03 00050</t>
  </si>
  <si>
    <t>Организация работы летних оздоровительных лагерей с дневным пребыванием детей на базе общеобразоваьтельных организаций</t>
  </si>
  <si>
    <t>62 2 03 00060</t>
  </si>
  <si>
    <t>Обеспечение отдыха и оздоровления детей в оздоровительных лагерях с дневным пребыванием детей на базе образовательных организаций</t>
  </si>
  <si>
    <t>62 2 03 60110</t>
  </si>
  <si>
    <t>Поощерение педагогов. развивающих творческие способности обучающихся и общеобразовательных организаций. внедряющих инновационные технологии</t>
  </si>
  <si>
    <t>62 2 03 00090</t>
  </si>
  <si>
    <t>Муниципальная программа муниципального образования "Гиагинский район" "Обеспечение безопасности дорожного движения"</t>
  </si>
  <si>
    <t>Агитационно-профилактическая работа, профилактика детского дорожно-транспортного травматизма</t>
  </si>
  <si>
    <t>6Л 0 01 00000</t>
  </si>
  <si>
    <t>Социальная политика</t>
  </si>
  <si>
    <t>10</t>
  </si>
  <si>
    <t>Охрана семьи и детства</t>
  </si>
  <si>
    <t>Муниципальная программа муниципального образования "Гиагинский район" "Развитие образования"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</si>
  <si>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</si>
  <si>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</si>
  <si>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</si>
  <si>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</si>
  <si>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</si>
  <si>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</si>
  <si>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</si>
  <si>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</si>
  <si>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Контрольно-счетная палата муниципального образования "Гиагинский район"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</si>
  <si>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</si>
  <si>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</si>
  <si>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</si>
  <si>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</si>
  <si>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71 4 00 00400</t>
  </si>
  <si>
    <t>Обеспечение функций органов местного самоуправления (переданные полномочия сельских поселений на содержание специалиста)</t>
  </si>
  <si>
    <t>71 4 00 00410</t>
  </si>
  <si>
    <t>Администрация муниципального образования "Гиагинский район"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</si>
  <si>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</si>
  <si>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</si>
  <si>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</si>
  <si>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</si>
  <si>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</si>
  <si>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</si>
  <si>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функций органов местного самоуправления</t>
  </si>
  <si>
    <t>71 6 00 00000</t>
  </si>
  <si>
    <t>71 6 00 00400</t>
  </si>
  <si>
    <t>Обеспечение проведения выборов, референдумов</t>
  </si>
  <si>
    <t>Проведение выборов и референдумов</t>
  </si>
  <si>
    <t>71 5 00 00000</t>
  </si>
  <si>
    <t>Проведение выборов главы муниципального образования</t>
  </si>
  <si>
    <t>71 5 00 00700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</si>
  <si>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</si>
  <si>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</si>
  <si>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</si>
  <si>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</si>
  <si>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Муниципальная программа муниципального образования  "Гиагинский район"  "Энергосбережение и повышение энергетической эффективности"</t>
  </si>
  <si>
    <t>Муниципальная программа муниципального образования  "Гиагинский район" "Развитие молодежной политики"</t>
  </si>
  <si>
    <t>6Б 0 00 00000</t>
  </si>
  <si>
    <t>Подпрограмма 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</si>
  <si>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</si>
  <si>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</si>
  <si>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</si>
  <si>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</si>
  <si>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</si>
  <si>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</si>
  <si>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</si>
  <si>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 xml:space="preserve">Муниципальная программа муниципального образования  "Гиагинский район" "Развитие сельского хозяйства на территории муниципального образования  "Гиагинский район" </t>
  </si>
  <si>
    <t>6Д 0 00 00000</t>
  </si>
  <si>
    <t>Реализация мероприятий по ликвидации несанкционированной свалки отходов производства и потребления</t>
  </si>
  <si>
    <t>6Д 0 05 00000</t>
  </si>
  <si>
    <t>Муниципальная программа муниципального образования  "Гиагинский район" "Реализация обеспечения информирования граждан о деятельности муниципальных органов муниципального образования 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</si>
  <si>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</si>
  <si>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</si>
  <si>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</si>
  <si>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</si>
  <si>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</si>
  <si>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Мероприятия по информационной поддержке, оказание консультационных и других услуг СОНКО</t>
  </si>
  <si>
    <t>6П 0 05 00000</t>
  </si>
  <si>
    <t xml:space="preserve">Муниципальная программа муниципального образования  "Гиагинский район"  "Укрепление общественного здоровья среди населения муниципального образования "Гиагинский район" </t>
  </si>
  <si>
    <t>6Т 0 00 00000</t>
  </si>
  <si>
    <t>Проведение профилактических мероприятий в соответствии с порядком Минздрава РФ (мед.осмотры, мед.профилактика, диспанциризация)</t>
  </si>
  <si>
    <t>6Т 0 01 00000</t>
  </si>
  <si>
    <t xml:space="preserve">Муниципальная программа  муниципального образования 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</si>
  <si>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</si>
  <si>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</si>
  <si>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</si>
  <si>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</si>
  <si>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</si>
  <si>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</si>
  <si>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</si>
  <si>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</si>
  <si>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</si>
  <si>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</si>
  <si>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</si>
  <si>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</si>
  <si>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</si>
  <si>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Осуществление государственных полномочий Республики Адыгея в сфере административных правонарушений</t>
  </si>
  <si>
    <t>71 0 00 61100</t>
  </si>
  <si>
    <t xml:space="preserve">Межбюджетные  трансферты 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</si>
  <si>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</si>
  <si>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71 0 00 61500</t>
  </si>
  <si>
    <t>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органам государственной власти Республики Адыгея</t>
  </si>
  <si>
    <t>71 0 00 54690</t>
  </si>
  <si>
    <t>Обеспечение деяльности муниципального казенного учреждения "Хозяйственно-эксплуатационная служба" муниципального образования  "Гиагинский район"</t>
  </si>
  <si>
    <t>71 7 00 00000</t>
  </si>
  <si>
    <t>Обеспечение деятельности работников подведомственных муниципальных казенных учреждений</t>
  </si>
  <si>
    <t>71 7 00 00500</t>
  </si>
  <si>
    <t>Капитальные вложения в объекты государственной (муниципальной) собственности</t>
  </si>
  <si>
    <t>Реализация иных мероприятий в рамках непрограммных расходов муниципального образования "Гиагинский район"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</si>
  <si>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</si>
  <si>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</si>
  <si>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>Закупка товаров, работ и услуг для государственных (муниципальных) нужд</t>
  </si>
  <si>
    <t>Выполнение других обязательств муниципального образования "Гиагинский район"</t>
  </si>
  <si>
    <t>72 0 12 00000</t>
  </si>
  <si>
    <t>Субсидии на мероприятия по совершенствованию системы организации дорожного движения</t>
  </si>
  <si>
    <t>72 0 17 00000</t>
  </si>
  <si>
    <t>Субсидии бюджетам сельских поселений на мероприятия по совершенствованию системы организации дорожного движения</t>
  </si>
  <si>
    <t>72 0 17 60360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</si>
  <si>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</si>
  <si>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</si>
  <si>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муниципального образования 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</si>
  <si>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</si>
  <si>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</si>
  <si>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</si>
  <si>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</si>
  <si>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</si>
  <si>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</si>
  <si>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</si>
  <si>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</si>
  <si>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</si>
  <si>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</si>
  <si>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</si>
  <si>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</si>
  <si>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</si>
  <si>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6И 3 01 00500</t>
  </si>
  <si>
    <t xml:space="preserve">Национальная экономика </t>
  </si>
  <si>
    <t>Сельское хозяйство и рыболовство</t>
  </si>
  <si>
    <t>05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</si>
  <si>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</si>
  <si>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</si>
  <si>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</si>
  <si>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</si>
  <si>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Подпрограмма "Комплексное развитие сельских территорий"</t>
  </si>
  <si>
    <t>6Д 2 00 00000</t>
  </si>
  <si>
    <t>Реализация мероприятий по рекультивации земельных участков после накопления твердых коммунальных отходов</t>
  </si>
  <si>
    <t>6Д 2 05 00000</t>
  </si>
  <si>
    <t>Организация мероприятий при осуществлении деятельности по обращению с животными без владельцев</t>
  </si>
  <si>
    <t>71 0 00 62700</t>
  </si>
  <si>
    <t>71 0 00 61070</t>
  </si>
  <si>
    <t>Транспорт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</si>
  <si>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</si>
  <si>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</si>
  <si>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</si>
  <si>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</si>
  <si>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</si>
  <si>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</si>
  <si>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>Дорожное хозяйство</t>
  </si>
  <si>
    <t>Муниципальная  программа муниципального образования  "Гиагинский район""Управление муниципальным имуществом и земельными ресурсами муниципального образования  "Гиагинский район"</t>
  </si>
  <si>
    <t>Реализация мероприятий на осществление муниципальной программы  "Управление муниципальным имуществом и земельными ресурсами муниципального образования  "Гиагинский район"</t>
  </si>
  <si>
    <t>Субсидии на создание и развитие инфраструктуры</t>
  </si>
  <si>
    <t>6Д 2 01 00000</t>
  </si>
  <si>
    <t>Субсидии на создание и развитие инфраструктуры на сельских территориях</t>
  </si>
  <si>
    <t>6Д 2 01 00001</t>
  </si>
  <si>
    <t>Муниципальная программа муниципального образования  "Гиагинский район"  "Комплексное развитие сельских территорий"</t>
  </si>
  <si>
    <t>6К 0 00 00000</t>
  </si>
  <si>
    <t>Субсидии на создание и развитие инфраструктуры сельских территорий</t>
  </si>
  <si>
    <t>6К 0 03 00000</t>
  </si>
  <si>
    <t>Субсидии местным бюджетам на развитие транспортной инфраструктуры в сельской местности</t>
  </si>
  <si>
    <t>6К 0 03 L3720</t>
  </si>
  <si>
    <t>Другие вопросы в области национальной экономики</t>
  </si>
  <si>
    <t>12</t>
  </si>
  <si>
    <t>Муниципальная программа муниципального образования 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</si>
  <si>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</si>
  <si>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</si>
  <si>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</si>
  <si>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</si>
  <si>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</si>
  <si>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>Развитие инфраструктуры сельских территорий муниципального образования  «Гиагинский район»</t>
  </si>
  <si>
    <t>6К 0 03 00010</t>
  </si>
  <si>
    <t>Реализация мероприятий на осществлениемуниципальной программы  "Управление муниципальным имуществом и земельными ресурсами муниципального образования  "Гиагинский район"</t>
  </si>
  <si>
    <t>Разграничение государственной собственности на землю</t>
  </si>
  <si>
    <t>6Я 0 01 00300</t>
  </si>
  <si>
    <t>Мероприятия в области строительства, архитектуры и градостроительства</t>
  </si>
  <si>
    <t>72 0 05 00000</t>
  </si>
  <si>
    <t>Составление проектно-сметной документации в области строительства, архитектуры и градостроительства</t>
  </si>
  <si>
    <t>72 0 05 00010</t>
  </si>
  <si>
    <t>Мероприятия на обеспечение ликвидации и рекультивации несанкционированных и санкционированных свалок</t>
  </si>
  <si>
    <t>72 0 05 61130</t>
  </si>
  <si>
    <t>Жилищно-коммунальное хозяйство</t>
  </si>
  <si>
    <t>Жилищное хозяйство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</si>
  <si>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</si>
  <si>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</si>
  <si>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Подпрограмма  "Капитальный ремонт многоквартирных домов в муниципальном образовании "Гиагинский район"</t>
  </si>
  <si>
    <t>6Ф 4 00 00000</t>
  </si>
  <si>
    <t xml:space="preserve"> Субсидии на возмещение части затрат по капитальному ремонту многоквартирных домов некомерческим организациям</t>
  </si>
  <si>
    <t>6Ф 4 01 00000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</si>
  <si>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</si>
  <si>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 0 00 00000</t>
  </si>
  <si>
    <t>Мероприятия по переселению граждан из аварийного жилищного фонда</t>
  </si>
  <si>
    <t>6Ч 0 F3 00000</t>
  </si>
  <si>
    <t>Реализация мероприятий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</si>
  <si>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6Ч 0 F3 60350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</si>
  <si>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</si>
  <si>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</si>
  <si>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6Ч 0 F3 67483</t>
  </si>
  <si>
    <t>Мероприятия по переселению граждан из аварийного жилищного фонда за счет средств бюджета муниципального образования «Гиагинский район»</t>
  </si>
  <si>
    <t>6Ч 0 F3 6748S</t>
  </si>
  <si>
    <t>Реализация мероприятий по переселению граждан из аварийного жилищного фонда за счет средств республиканского бюджета Республики Адыгея</t>
  </si>
  <si>
    <t>6Ч 0 F3 67484</t>
  </si>
  <si>
    <t>Коммунальное хозяйство</t>
  </si>
  <si>
    <t>Реализация мероприятий по энергосбережению и повышению энергетической эффективности, за счет средств республиканского бюджета РА</t>
  </si>
  <si>
    <t>66 0 02 00000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</si>
  <si>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</si>
  <si>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66 0 02 60310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</si>
  <si>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</si>
  <si>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Обеспечение комплексного развития сельских территорий (современный облик сельских территориях)</t>
  </si>
  <si>
    <t>6Д 2 04 L576F</t>
  </si>
  <si>
    <t>Муниципальная программа муниципального образования "Гиагинский район"  "Комплексное развитие сельских территорий"</t>
  </si>
  <si>
    <t>Развитие инфраструктуры сельских территорий муниципального образования "Гиагинский район"</t>
  </si>
  <si>
    <t>Мероприятия в рамках регионального проекта "Чистая вода"</t>
  </si>
  <si>
    <t>71 0 F5 00000</t>
  </si>
  <si>
    <t>Субсидии местным бюджетам на строительство и реконструкцию (модернизацию) объектов питьевого водоснабжения</t>
  </si>
  <si>
    <t>71 0 F5 52430</t>
  </si>
  <si>
    <t>Благоустройство</t>
  </si>
  <si>
    <t xml:space="preserve"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 </t>
  </si>
  <si>
    <t>71 0 00 L2991</t>
  </si>
  <si>
    <t xml:space="preserve"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</t>
  </si>
  <si>
    <t>71 0 00 L2993</t>
  </si>
  <si>
    <t>Реализация мероприятий по формированию современной городской среды</t>
  </si>
  <si>
    <t>71 0 F2 55550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</si>
  <si>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</si>
  <si>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>71 0 00 60440</t>
  </si>
  <si>
    <t xml:space="preserve">Образование </t>
  </si>
  <si>
    <t xml:space="preserve">Молодежная политика </t>
  </si>
  <si>
    <t>Муниципальная программа муниципального образования "Гиагинский район" "Развитие молодежной политики"</t>
  </si>
  <si>
    <t>Подпрограмма "Поддержка молодежной политики"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</si>
  <si>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</si>
  <si>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Пенсионное обеспечение</t>
  </si>
  <si>
    <t xml:space="preserve">Доплаты к пенсиям муниципальных служащих </t>
  </si>
  <si>
    <t>72 0 03 00000</t>
  </si>
  <si>
    <t>Социальное обеспечение населения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</si>
  <si>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</si>
  <si>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</si>
  <si>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</si>
  <si>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</si>
  <si>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</si>
  <si>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</si>
  <si>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</si>
  <si>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</si>
  <si>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</si>
  <si>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Подпрограмма "Обеспечением жильем молодых семей"</t>
  </si>
  <si>
    <t>6Ф 1 00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</si>
  <si>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</si>
  <si>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</si>
  <si>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дополнительной социальной выплаты при рождении (усыновлении) первого ребенка</t>
  </si>
  <si>
    <t>6Ф 1 01 60540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</si>
  <si>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</si>
  <si>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</si>
  <si>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</si>
  <si>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</si>
  <si>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</si>
  <si>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</si>
  <si>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</si>
  <si>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</si>
  <si>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 xml:space="preserve">Другие вопросы в области социальной политики 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</si>
  <si>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</si>
  <si>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Физическая культура и спорт</t>
  </si>
  <si>
    <t>Физическая культура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</si>
  <si>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</si>
  <si>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</si>
  <si>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Проведение спортивных мероприятий и сборов</t>
  </si>
  <si>
    <t>6Г 0 01 00000</t>
  </si>
  <si>
    <t>Муниципальная программа муниципального образования "Гиагинский район" "Улучшение демографической ситуации на территории муниципального образования "Гиагинский район"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</si>
  <si>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</si>
  <si>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</si>
  <si>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</si>
  <si>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</si>
  <si>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Массовый спорт</t>
  </si>
  <si>
    <t>Обеспечение деятельности муниципального казенного учреждения "Спортивно-оздоровительный центр" администрации муниципального образования "Гиагинский район"</t>
  </si>
  <si>
    <t>6Г 0 02 00000</t>
  </si>
  <si>
    <t>6Г 0 02 00500</t>
  </si>
  <si>
    <t>Средства массовой информации</t>
  </si>
  <si>
    <t>Периодическая печать и издательства</t>
  </si>
  <si>
    <t>Поддержка издательств и периодических средств массовой информации</t>
  </si>
  <si>
    <t>72 0 04 00000</t>
  </si>
  <si>
    <t>ВСЕГО РАСХОДОВ</t>
  </si>
  <si>
    <t>дотация</t>
  </si>
  <si>
    <t>М.А.Бондаренко</t>
  </si>
  <si>
    <t>с/п</t>
  </si>
  <si>
    <t>А.А.Хаджимова</t>
  </si>
  <si>
    <t>субвенц</t>
  </si>
  <si>
    <t>субсидии</t>
  </si>
  <si>
    <t>иные межбюдж</t>
  </si>
  <si>
    <t>РАЗДЕЛ</t>
  </si>
  <si>
    <t>"-"</t>
  </si>
  <si>
    <t>"+"</t>
  </si>
  <si>
    <t>РАЗНИЦА</t>
  </si>
  <si>
    <t>СНД</t>
  </si>
  <si>
    <t>культ</t>
  </si>
  <si>
    <t>УФ</t>
  </si>
  <si>
    <t>образ</t>
  </si>
  <si>
    <t>КСП</t>
  </si>
  <si>
    <t>админ</t>
  </si>
  <si>
    <t>0412</t>
  </si>
  <si>
    <t>1004</t>
  </si>
  <si>
    <t>1403</t>
  </si>
  <si>
    <t>1001</t>
  </si>
  <si>
    <t>0113</t>
  </si>
  <si>
    <t>0103</t>
  </si>
  <si>
    <t>0107</t>
  </si>
  <si>
    <t>0106</t>
  </si>
  <si>
    <t>0501</t>
  </si>
  <si>
    <t>ИТОГО</t>
  </si>
  <si>
    <t>итого</t>
  </si>
  <si>
    <t>Стипендии студентам поступившим на целевое обучение муниципального образования "Гиагинский район"</t>
  </si>
  <si>
    <t>62 2 12 00000</t>
  </si>
  <si>
    <t>Стипендии студентам поступившим на целевое обучение</t>
  </si>
  <si>
    <t>62 2 12 00010</t>
  </si>
  <si>
    <t>Укрепление и развитие материально-технической базы, включая капитальный, текущий ремонт, реконструкцию, строительство зданий и помещений, обеспечение их современным оборудованием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</si>
  <si>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</si>
  <si>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62 2 13 50500</t>
  </si>
  <si>
    <t>Муниципальная программа МО "Гиагинский район" "Комплексное развитие сельских территорий"</t>
  </si>
  <si>
    <t>Субсидии на улучшение качества благоустройства сельских территорий</t>
  </si>
  <si>
    <t>6К 0 04 00000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</si>
  <si>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 (за счет средств бюджета муниципального образования "Гиагинский район")</t>
  </si>
  <si>
    <t>71 0 00 01020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</si>
  <si>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 (за счет средств бюджета муниципального образования "Гиагинский район")</t>
  </si>
  <si>
    <t>71 0 00 01040</t>
  </si>
  <si>
    <t>Муниципальная программа муниципального образования "Гиагинский район" "Социальная помощь вдовам ветеранов Великой Отечественной войны 1941-1945 годов и гражданам, участвующим в специальной военной операции, и  (или) членам их семей"</t>
  </si>
  <si>
    <t>71 0 00 61300</t>
  </si>
  <si>
    <t>Управляющая делами Совета народных депутатов                                                                                                                   муниципального образования "Гиагинский район"</t>
  </si>
  <si>
    <t>Осуществление отдельных государственных полномочий Республики Адыгея по опеке и попечительству в отношении несовершеннолетних лиц (за счет средств бюджета муниципального образования "Гиагинский район")</t>
  </si>
  <si>
    <t>71 0 00 01030</t>
  </si>
  <si>
    <t>71 0 00 61200</t>
  </si>
  <si>
    <t>71 0 00 61400</t>
  </si>
  <si>
    <t xml:space="preserve">Приложение № 7                                                                                               к  решению Совета народных депутатов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" 24 "  декабря 2024 года № 213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</si>
</sst>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00"/>
    <numFmt numFmtId="165" formatCode="#\ ##0.0"/>
    <numFmt numFmtId="166" formatCode="#\ ##0.00"/>
    <numFmt numFmtId="167" formatCode="0.0"/>
    <numFmt numFmtId="168" formatCode="#\ ##0.00000_ "/>
    <numFmt numFmtId="169" formatCode="#\ ##0.0_ "/>
    <numFmt numFmtId="170" formatCode="#\ ##0.00000"/>
    <numFmt numFmtId="171" formatCode="0.00000"/>
    <numFmt numFmtId="172" formatCode="0.0000"/>
    <numFmt numFmtId="173" formatCode="0.000000"/>
    <numFmt numFmtId="174" formatCode="0.0_ "/>
    <numFmt numFmtId="175" formatCode="#\ ##0"/>
    <numFmt numFmtId="176" formatCode="#\ ##0.000"/>
    <numFmt numFmtId="177" formatCode="#,##0.0"/>
  </numFmts>
  <fonts count="10">
    <font>
      <sz val="10"/>
      <color rgb="FF000000"/>
      <name val="Times New Roman"/>
      <charset val="13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876400036622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17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vertical="top" wrapText="1"/>
    </xf>
    <xf numFmtId="167" fontId="0" fillId="0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168" fontId="7" fillId="4" borderId="0" xfId="0" applyNumberFormat="1" applyFont="1" applyFill="1" applyAlignment="1">
      <alignment vertical="top" wrapText="1"/>
    </xf>
    <xf numFmtId="0" fontId="8" fillId="4" borderId="0" xfId="0" applyFont="1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167" fontId="7" fillId="4" borderId="1" xfId="0" applyNumberFormat="1" applyFont="1" applyFill="1" applyBorder="1" applyAlignment="1">
      <alignment vertical="top" wrapText="1"/>
    </xf>
    <xf numFmtId="0" fontId="7" fillId="4" borderId="2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wrapText="1"/>
    </xf>
    <xf numFmtId="170" fontId="7" fillId="4" borderId="1" xfId="0" applyNumberFormat="1" applyFont="1" applyFill="1" applyBorder="1" applyAlignment="1">
      <alignment vertical="top" wrapText="1"/>
    </xf>
    <xf numFmtId="170" fontId="7" fillId="4" borderId="1" xfId="0" applyNumberFormat="1" applyFont="1" applyFill="1" applyBorder="1" applyAlignment="1">
      <alignment horizontal="center" vertical="center" wrapText="1"/>
    </xf>
    <xf numFmtId="170" fontId="7" fillId="4" borderId="3" xfId="0" applyNumberFormat="1" applyFont="1" applyFill="1" applyBorder="1" applyAlignment="1">
      <alignment vertical="top" wrapText="1"/>
    </xf>
    <xf numFmtId="167" fontId="8" fillId="4" borderId="1" xfId="0" applyNumberFormat="1" applyFont="1" applyFill="1" applyBorder="1" applyAlignment="1">
      <alignment vertical="top" wrapText="1"/>
    </xf>
    <xf numFmtId="165" fontId="8" fillId="4" borderId="1" xfId="0" applyNumberFormat="1" applyFont="1" applyFill="1" applyBorder="1" applyAlignment="1">
      <alignment vertical="top" wrapText="1"/>
    </xf>
    <xf numFmtId="165" fontId="7" fillId="4" borderId="1" xfId="0" applyNumberFormat="1" applyFont="1" applyFill="1" applyBorder="1" applyAlignment="1">
      <alignment vertical="top" wrapText="1"/>
    </xf>
    <xf numFmtId="171" fontId="8" fillId="4" borderId="1" xfId="0" applyNumberFormat="1" applyFont="1" applyFill="1" applyBorder="1" applyAlignment="1">
      <alignment vertical="top" wrapText="1"/>
    </xf>
    <xf numFmtId="172" fontId="8" fillId="4" borderId="1" xfId="0" applyNumberFormat="1" applyFont="1" applyFill="1" applyBorder="1" applyAlignment="1">
      <alignment vertical="top" wrapText="1"/>
    </xf>
    <xf numFmtId="171" fontId="7" fillId="4" borderId="1" xfId="0" applyNumberFormat="1" applyFont="1" applyFill="1" applyBorder="1" applyAlignment="1">
      <alignment vertical="top" wrapText="1"/>
    </xf>
    <xf numFmtId="168" fontId="7" fillId="4" borderId="3" xfId="0" applyNumberFormat="1" applyFont="1" applyFill="1" applyBorder="1" applyAlignment="1">
      <alignment horizontal="center" vertical="center" wrapText="1"/>
    </xf>
    <xf numFmtId="168" fontId="8" fillId="4" borderId="1" xfId="0" applyNumberFormat="1" applyFont="1" applyFill="1" applyBorder="1" applyAlignment="1">
      <alignment vertical="top" wrapText="1"/>
    </xf>
    <xf numFmtId="168" fontId="7" fillId="4" borderId="1" xfId="0" applyNumberFormat="1" applyFont="1" applyFill="1" applyBorder="1" applyAlignment="1">
      <alignment vertical="top" wrapText="1"/>
    </xf>
    <xf numFmtId="168" fontId="7" fillId="4" borderId="2" xfId="0" applyNumberFormat="1" applyFont="1" applyFill="1" applyBorder="1" applyAlignment="1">
      <alignment vertical="top" wrapText="1"/>
    </xf>
    <xf numFmtId="173" fontId="7" fillId="4" borderId="1" xfId="0" applyNumberFormat="1" applyFont="1" applyFill="1" applyBorder="1" applyAlignment="1">
      <alignment vertical="top" wrapText="1"/>
    </xf>
    <xf numFmtId="170" fontId="8" fillId="4" borderId="1" xfId="0" applyNumberFormat="1" applyFont="1" applyFill="1" applyBorder="1" applyAlignment="1">
      <alignment vertical="top" wrapText="1"/>
    </xf>
    <xf numFmtId="169" fontId="7" fillId="4" borderId="1" xfId="0" applyNumberFormat="1" applyFont="1" applyFill="1" applyBorder="1" applyAlignment="1">
      <alignment vertical="top" wrapText="1"/>
    </xf>
    <xf numFmtId="171" fontId="7" fillId="4" borderId="0" xfId="0" applyNumberFormat="1" applyFont="1" applyFill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174" fontId="7" fillId="4" borderId="1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vertical="top" wrapText="1"/>
    </xf>
    <xf numFmtId="167" fontId="7" fillId="4" borderId="2" xfId="0" applyNumberFormat="1" applyFont="1" applyFill="1" applyBorder="1" applyAlignment="1">
      <alignment vertical="top" wrapText="1"/>
    </xf>
    <xf numFmtId="175" fontId="7" fillId="4" borderId="1" xfId="0" applyNumberFormat="1" applyFont="1" applyFill="1" applyBorder="1" applyAlignment="1">
      <alignment vertical="top" wrapText="1"/>
    </xf>
    <xf numFmtId="176" fontId="7" fillId="4" borderId="1" xfId="0" applyNumberFormat="1" applyFont="1" applyFill="1" applyBorder="1" applyAlignment="1">
      <alignment vertical="top" wrapText="1"/>
    </xf>
    <xf numFmtId="167" fontId="7" fillId="4" borderId="0" xfId="0" applyNumberFormat="1" applyFont="1" applyFill="1" applyAlignment="1">
      <alignment vertical="top" wrapText="1"/>
    </xf>
    <xf numFmtId="165" fontId="7" fillId="4" borderId="0" xfId="0" applyNumberFormat="1" applyFont="1" applyFill="1" applyAlignment="1">
      <alignment vertical="top" wrapText="1"/>
    </xf>
    <xf numFmtId="171" fontId="8" fillId="4" borderId="0" xfId="0" applyNumberFormat="1" applyFont="1" applyFill="1" applyAlignment="1">
      <alignment vertical="top" wrapText="1"/>
    </xf>
    <xf numFmtId="0" fontId="7" fillId="4" borderId="0" xfId="0" applyFont="1" applyFill="1" applyAlignment="1">
      <alignment horizontal="right" vertical="top"/>
    </xf>
    <xf numFmtId="170" fontId="7" fillId="4" borderId="0" xfId="0" applyNumberFormat="1" applyFont="1" applyFill="1" applyAlignment="1">
      <alignment vertical="top" wrapText="1"/>
    </xf>
    <xf numFmtId="168" fontId="8" fillId="4" borderId="2" xfId="0" applyNumberFormat="1" applyFont="1" applyFill="1" applyBorder="1" applyAlignment="1">
      <alignment vertical="top" wrapText="1"/>
    </xf>
    <xf numFmtId="171" fontId="8" fillId="4" borderId="2" xfId="0" applyNumberFormat="1" applyFont="1" applyFill="1" applyBorder="1" applyAlignment="1">
      <alignment vertical="top" wrapText="1"/>
    </xf>
    <xf numFmtId="168" fontId="7" fillId="4" borderId="0" xfId="0" applyNumberFormat="1" applyFont="1" applyFill="1" applyAlignment="1">
      <alignment horizontal="right" vertical="top" wrapText="1"/>
    </xf>
    <xf numFmtId="170" fontId="8" fillId="4" borderId="0" xfId="0" applyNumberFormat="1" applyFont="1" applyFill="1" applyAlignment="1">
      <alignment vertical="top" wrapText="1"/>
    </xf>
    <xf numFmtId="171" fontId="7" fillId="4" borderId="2" xfId="0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vertical="top" wrapText="1"/>
    </xf>
    <xf numFmtId="177" fontId="8" fillId="4" borderId="1" xfId="0" applyNumberFormat="1" applyFont="1" applyFill="1" applyBorder="1" applyAlignment="1">
      <alignment vertical="top" wrapText="1"/>
    </xf>
    <xf numFmtId="177" fontId="7" fillId="4" borderId="0" xfId="0" applyNumberFormat="1" applyFont="1" applyFill="1" applyAlignment="1">
      <alignment vertical="top" wrapText="1"/>
    </xf>
    <xf numFmtId="177" fontId="7" fillId="4" borderId="3" xfId="0" applyNumberFormat="1" applyFont="1" applyFill="1" applyBorder="1" applyAlignment="1">
      <alignment horizontal="center" vertical="center" wrapText="1"/>
    </xf>
    <xf numFmtId="177" fontId="7" fillId="4" borderId="1" xfId="0" applyNumberFormat="1" applyFont="1" applyFill="1" applyBorder="1" applyAlignment="1">
      <alignment vertical="top" wrapText="1"/>
    </xf>
    <xf numFmtId="177" fontId="7" fillId="4" borderId="2" xfId="0" applyNumberFormat="1" applyFont="1" applyFill="1" applyBorder="1" applyAlignment="1">
      <alignment vertical="top" wrapText="1"/>
    </xf>
    <xf numFmtId="0" fontId="7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top" wrapText="1"/>
    </xf>
    <xf numFmtId="169" fontId="7" fillId="4" borderId="0" xfId="0" applyNumberFormat="1" applyFont="1" applyFill="1" applyAlignment="1">
      <alignment horizontal="left" vertical="top" wrapText="1"/>
    </xf>
    <xf numFmtId="168" fontId="7" fillId="4" borderId="0" xfId="0" applyNumberFormat="1" applyFont="1" applyFill="1" applyAlignment="1">
      <alignment horizontal="left" vertical="top" wrapText="1"/>
    </xf>
    <xf numFmtId="0" fontId="8" fillId="4" borderId="0" xfId="0" applyFont="1" applyFill="1" applyAlignment="1">
      <alignment horizontal="center" vertical="center" wrapText="1"/>
    </xf>
    <xf numFmtId="0" fontId="7" fillId="4" borderId="1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FF99FF"/>
      <color rgb="FFFFCCFF"/>
      <color rgb="FFD60093"/>
      <color rgb="FF99FF33"/>
      <color rgb="FFFF0000"/>
      <color rgb="FFFFFF00"/>
      <color rgb="FF6600FF"/>
      <color rgb="FFCC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82"/>
  <sheetViews>
    <sheetView tabSelected="1" zoomScale="80" zoomScaleNormal="80" zoomScaleSheetLayoutView="70" workbookViewId="0">
      <selection activeCell="D1" sqref="D1:Y2"/>
    </sheetView>
  </sheetViews>
  <sheetFormatPr defaultColWidth="9.33203125" defaultRowHeight="18.75"/>
  <cols>
    <col min="1" max="1" width="6.1640625" style="45" customWidth="1"/>
    <col min="2" max="2" width="123" style="45" customWidth="1"/>
    <col min="3" max="3" width="15.83203125" style="45" customWidth="1"/>
    <col min="4" max="4" width="12.83203125" style="45" customWidth="1"/>
    <col min="5" max="5" width="12" style="45" customWidth="1"/>
    <col min="6" max="6" width="21.33203125" style="45" customWidth="1"/>
    <col min="7" max="7" width="13.83203125" style="45" customWidth="1"/>
    <col min="8" max="8" width="19.83203125" style="45" hidden="1" customWidth="1"/>
    <col min="9" max="9" width="16.6640625" style="45" hidden="1" customWidth="1"/>
    <col min="10" max="10" width="21.83203125" style="45" hidden="1" customWidth="1"/>
    <col min="11" max="11" width="19" style="45" hidden="1" customWidth="1"/>
    <col min="12" max="12" width="27.33203125" style="45" hidden="1" customWidth="1"/>
    <col min="13" max="13" width="30.6640625" style="45" hidden="1" customWidth="1"/>
    <col min="14" max="14" width="20.83203125" style="45" hidden="1" customWidth="1"/>
    <col min="15" max="15" width="0.5" style="45" hidden="1" customWidth="1"/>
    <col min="16" max="16" width="22" style="45" hidden="1" customWidth="1"/>
    <col min="17" max="17" width="23.6640625" style="45" hidden="1" customWidth="1"/>
    <col min="18" max="18" width="32" style="45" hidden="1" customWidth="1"/>
    <col min="19" max="19" width="19" style="45" hidden="1" customWidth="1"/>
    <col min="20" max="20" width="0.1640625" style="46" hidden="1" customWidth="1"/>
    <col min="21" max="21" width="18.5" style="45" hidden="1" customWidth="1"/>
    <col min="22" max="22" width="16" style="45" hidden="1" customWidth="1"/>
    <col min="23" max="23" width="16.6640625" style="45" hidden="1" customWidth="1"/>
    <col min="24" max="24" width="0.1640625" style="45" hidden="1" customWidth="1"/>
    <col min="25" max="25" width="26" style="104" customWidth="1"/>
    <col min="26" max="26" width="20.6640625" style="45"/>
    <col min="27" max="27" width="27.83203125" style="45" customWidth="1"/>
    <col min="28" max="28" width="19.5" style="45" customWidth="1"/>
    <col min="29" max="16384" width="9.33203125" style="45"/>
  </cols>
  <sheetData>
    <row r="1" spans="1:27" ht="12.75" customHeight="1">
      <c r="D1" s="110" t="s">
        <v>668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1"/>
    </row>
    <row r="2" spans="1:27" ht="69.75" customHeight="1"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1"/>
    </row>
    <row r="3" spans="1:27" ht="23.25" customHeight="1">
      <c r="D3" s="110" t="s">
        <v>0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2"/>
      <c r="U3" s="110"/>
      <c r="V3" s="110"/>
      <c r="W3" s="110"/>
      <c r="X3" s="110"/>
      <c r="Y3" s="111"/>
    </row>
    <row r="4" spans="1:27" ht="59.25" customHeight="1"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2"/>
      <c r="U4" s="110"/>
      <c r="V4" s="110"/>
      <c r="W4" s="110"/>
      <c r="X4" s="110"/>
      <c r="Y4" s="111"/>
    </row>
    <row r="5" spans="1:27" ht="37.5" customHeight="1">
      <c r="A5" s="113" t="s">
        <v>1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1:27" ht="9.75" customHeight="1">
      <c r="A6" s="47"/>
      <c r="B6" s="108"/>
      <c r="C6" s="108"/>
      <c r="D6" s="108"/>
      <c r="E6" s="108"/>
      <c r="F6" s="108"/>
      <c r="G6" s="108"/>
    </row>
    <row r="7" spans="1:27" ht="16.5" customHeight="1">
      <c r="A7" s="114" t="s">
        <v>2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</row>
    <row r="8" spans="1:27" ht="96.75" customHeight="1">
      <c r="A8" s="48" t="s">
        <v>3</v>
      </c>
      <c r="B8" s="49" t="s">
        <v>4</v>
      </c>
      <c r="C8" s="49" t="s">
        <v>5</v>
      </c>
      <c r="D8" s="49" t="s">
        <v>6</v>
      </c>
      <c r="E8" s="49" t="s">
        <v>7</v>
      </c>
      <c r="F8" s="49" t="s">
        <v>8</v>
      </c>
      <c r="G8" s="49" t="s">
        <v>9</v>
      </c>
      <c r="H8" s="50" t="s">
        <v>10</v>
      </c>
      <c r="I8" s="49" t="s">
        <v>11</v>
      </c>
      <c r="J8" s="49" t="s">
        <v>12</v>
      </c>
      <c r="K8" s="65" t="s">
        <v>11</v>
      </c>
      <c r="L8" s="65" t="s">
        <v>13</v>
      </c>
      <c r="M8" s="65" t="s">
        <v>14</v>
      </c>
      <c r="N8" s="65" t="s">
        <v>15</v>
      </c>
      <c r="O8" s="66" t="s">
        <v>16</v>
      </c>
      <c r="P8" s="67" t="s">
        <v>17</v>
      </c>
      <c r="Q8" s="67" t="s">
        <v>13</v>
      </c>
      <c r="R8" s="67" t="s">
        <v>14</v>
      </c>
      <c r="S8" s="67" t="s">
        <v>15</v>
      </c>
      <c r="T8" s="74" t="s">
        <v>18</v>
      </c>
      <c r="U8" s="67" t="s">
        <v>19</v>
      </c>
      <c r="V8" s="67" t="s">
        <v>13</v>
      </c>
      <c r="W8" s="67" t="s">
        <v>14</v>
      </c>
      <c r="X8" s="67" t="s">
        <v>15</v>
      </c>
      <c r="Y8" s="105" t="s">
        <v>18</v>
      </c>
    </row>
    <row r="9" spans="1:27" ht="25.5" customHeight="1">
      <c r="A9" s="51">
        <v>1</v>
      </c>
      <c r="B9" s="52" t="s">
        <v>20</v>
      </c>
      <c r="C9" s="53">
        <v>901</v>
      </c>
      <c r="D9" s="53" t="s">
        <v>21</v>
      </c>
      <c r="E9" s="53" t="s">
        <v>21</v>
      </c>
      <c r="F9" s="53" t="s">
        <v>21</v>
      </c>
      <c r="G9" s="54" t="s">
        <v>21</v>
      </c>
      <c r="H9" s="55">
        <f t="shared" ref="H9:K12" si="0">H10</f>
        <v>3692.6000000000004</v>
      </c>
      <c r="I9" s="55">
        <f t="shared" si="0"/>
        <v>0</v>
      </c>
      <c r="J9" s="68">
        <f t="shared" si="0"/>
        <v>3859.2999999999993</v>
      </c>
      <c r="K9" s="69">
        <f t="shared" si="0"/>
        <v>0</v>
      </c>
      <c r="L9" s="69"/>
      <c r="M9" s="69"/>
      <c r="N9" s="69"/>
      <c r="O9" s="69">
        <f>O10</f>
        <v>4169</v>
      </c>
      <c r="P9" s="68">
        <f t="shared" ref="P9:X12" si="1">P10</f>
        <v>0</v>
      </c>
      <c r="Q9" s="68">
        <f t="shared" si="1"/>
        <v>0</v>
      </c>
      <c r="R9" s="68">
        <f t="shared" si="1"/>
        <v>0</v>
      </c>
      <c r="S9" s="68">
        <f t="shared" si="1"/>
        <v>0</v>
      </c>
      <c r="T9" s="75">
        <f t="shared" si="1"/>
        <v>4499.2</v>
      </c>
      <c r="U9" s="71">
        <f t="shared" si="1"/>
        <v>0</v>
      </c>
      <c r="V9" s="52">
        <f t="shared" si="1"/>
        <v>0</v>
      </c>
      <c r="W9" s="52">
        <f t="shared" si="1"/>
        <v>0</v>
      </c>
      <c r="X9" s="52">
        <f t="shared" si="1"/>
        <v>0</v>
      </c>
      <c r="Y9" s="103">
        <f t="shared" ref="Y9:Y12" si="2">Y10</f>
        <v>4779.5709700000007</v>
      </c>
      <c r="Z9" s="46"/>
      <c r="AA9" s="81"/>
    </row>
    <row r="10" spans="1:27">
      <c r="A10" s="56" t="s">
        <v>21</v>
      </c>
      <c r="B10" s="57" t="s">
        <v>22</v>
      </c>
      <c r="C10" s="58">
        <v>901</v>
      </c>
      <c r="D10" s="58" t="s">
        <v>23</v>
      </c>
      <c r="E10" s="58" t="s">
        <v>21</v>
      </c>
      <c r="F10" s="58" t="s">
        <v>21</v>
      </c>
      <c r="G10" s="59" t="s">
        <v>21</v>
      </c>
      <c r="H10" s="55">
        <f t="shared" si="0"/>
        <v>3692.6000000000004</v>
      </c>
      <c r="I10" s="55">
        <f t="shared" si="0"/>
        <v>0</v>
      </c>
      <c r="J10" s="55">
        <f t="shared" si="0"/>
        <v>3859.2999999999993</v>
      </c>
      <c r="K10" s="70">
        <f t="shared" si="0"/>
        <v>0</v>
      </c>
      <c r="L10" s="70"/>
      <c r="M10" s="70"/>
      <c r="N10" s="70"/>
      <c r="O10" s="70">
        <f t="shared" ref="O10:T10" si="3">O11+O20</f>
        <v>4169</v>
      </c>
      <c r="P10" s="55">
        <f t="shared" si="3"/>
        <v>0</v>
      </c>
      <c r="Q10" s="70">
        <f t="shared" si="3"/>
        <v>0</v>
      </c>
      <c r="R10" s="70">
        <f t="shared" si="3"/>
        <v>0</v>
      </c>
      <c r="S10" s="70">
        <f t="shared" si="3"/>
        <v>0</v>
      </c>
      <c r="T10" s="76">
        <f t="shared" si="3"/>
        <v>4499.2</v>
      </c>
      <c r="U10" s="55">
        <f>U11</f>
        <v>0</v>
      </c>
      <c r="V10" s="57">
        <f t="shared" si="1"/>
        <v>0</v>
      </c>
      <c r="W10" s="57">
        <f t="shared" si="1"/>
        <v>0</v>
      </c>
      <c r="X10" s="57">
        <f t="shared" si="1"/>
        <v>0</v>
      </c>
      <c r="Y10" s="106">
        <f>Y11+Y20</f>
        <v>4779.5709700000007</v>
      </c>
      <c r="Z10" s="46"/>
      <c r="AA10" s="81"/>
    </row>
    <row r="11" spans="1:27" ht="44.25" customHeight="1">
      <c r="A11" s="56" t="s">
        <v>21</v>
      </c>
      <c r="B11" s="57" t="s">
        <v>24</v>
      </c>
      <c r="C11" s="58">
        <v>901</v>
      </c>
      <c r="D11" s="58" t="s">
        <v>23</v>
      </c>
      <c r="E11" s="58" t="s">
        <v>25</v>
      </c>
      <c r="F11" s="58" t="s">
        <v>21</v>
      </c>
      <c r="G11" s="59" t="s">
        <v>21</v>
      </c>
      <c r="H11" s="55">
        <f t="shared" si="0"/>
        <v>3692.6000000000004</v>
      </c>
      <c r="I11" s="55">
        <f t="shared" si="0"/>
        <v>0</v>
      </c>
      <c r="J11" s="55">
        <f t="shared" si="0"/>
        <v>3859.2999999999993</v>
      </c>
      <c r="K11" s="70">
        <f t="shared" si="0"/>
        <v>0</v>
      </c>
      <c r="L11" s="70"/>
      <c r="M11" s="70"/>
      <c r="N11" s="70"/>
      <c r="O11" s="70">
        <f>O12</f>
        <v>4169</v>
      </c>
      <c r="P11" s="55">
        <f t="shared" si="1"/>
        <v>0</v>
      </c>
      <c r="Q11" s="70">
        <f t="shared" si="1"/>
        <v>0</v>
      </c>
      <c r="R11" s="70">
        <f t="shared" si="1"/>
        <v>0</v>
      </c>
      <c r="S11" s="70">
        <f t="shared" si="1"/>
        <v>0</v>
      </c>
      <c r="T11" s="76">
        <f t="shared" si="1"/>
        <v>4499.2</v>
      </c>
      <c r="U11" s="55">
        <f>U12</f>
        <v>0</v>
      </c>
      <c r="V11" s="57">
        <f t="shared" si="1"/>
        <v>0</v>
      </c>
      <c r="W11" s="57">
        <f t="shared" si="1"/>
        <v>0</v>
      </c>
      <c r="X11" s="57">
        <f t="shared" si="1"/>
        <v>0</v>
      </c>
      <c r="Y11" s="106">
        <f t="shared" si="2"/>
        <v>4779.5709700000007</v>
      </c>
      <c r="Z11" s="46"/>
      <c r="AA11" s="81"/>
    </row>
    <row r="12" spans="1:27" ht="23.25" customHeight="1">
      <c r="A12" s="56" t="s">
        <v>21</v>
      </c>
      <c r="B12" s="57" t="s">
        <v>26</v>
      </c>
      <c r="C12" s="58">
        <v>901</v>
      </c>
      <c r="D12" s="58" t="s">
        <v>23</v>
      </c>
      <c r="E12" s="58" t="s">
        <v>25</v>
      </c>
      <c r="F12" s="58" t="s">
        <v>27</v>
      </c>
      <c r="G12" s="59" t="s">
        <v>21</v>
      </c>
      <c r="H12" s="55">
        <f t="shared" si="0"/>
        <v>3692.6000000000004</v>
      </c>
      <c r="I12" s="55">
        <f t="shared" si="0"/>
        <v>0</v>
      </c>
      <c r="J12" s="55">
        <f t="shared" si="0"/>
        <v>3859.2999999999993</v>
      </c>
      <c r="K12" s="70">
        <f t="shared" si="0"/>
        <v>0</v>
      </c>
      <c r="L12" s="70"/>
      <c r="M12" s="70"/>
      <c r="N12" s="70"/>
      <c r="O12" s="70">
        <f>O13</f>
        <v>4169</v>
      </c>
      <c r="P12" s="55">
        <f t="shared" si="1"/>
        <v>0</v>
      </c>
      <c r="Q12" s="70">
        <f t="shared" si="1"/>
        <v>0</v>
      </c>
      <c r="R12" s="70">
        <f t="shared" si="1"/>
        <v>0</v>
      </c>
      <c r="S12" s="70">
        <f t="shared" si="1"/>
        <v>0</v>
      </c>
      <c r="T12" s="76">
        <f t="shared" si="1"/>
        <v>4499.2</v>
      </c>
      <c r="U12" s="55">
        <f>U13+U16</f>
        <v>0</v>
      </c>
      <c r="V12" s="57">
        <f t="shared" ref="V12:X12" si="4">V13+V16</f>
        <v>0</v>
      </c>
      <c r="W12" s="57">
        <f t="shared" si="4"/>
        <v>0</v>
      </c>
      <c r="X12" s="57">
        <f t="shared" si="4"/>
        <v>0</v>
      </c>
      <c r="Y12" s="106">
        <f t="shared" si="2"/>
        <v>4779.5709700000007</v>
      </c>
      <c r="Z12" s="46"/>
      <c r="AA12" s="81"/>
    </row>
    <row r="13" spans="1:27" ht="37.5">
      <c r="A13" s="56" t="s">
        <v>21</v>
      </c>
      <c r="B13" s="57" t="s">
        <v>28</v>
      </c>
      <c r="C13" s="58">
        <v>901</v>
      </c>
      <c r="D13" s="58" t="s">
        <v>23</v>
      </c>
      <c r="E13" s="58" t="s">
        <v>25</v>
      </c>
      <c r="F13" s="58" t="s">
        <v>29</v>
      </c>
      <c r="G13" s="59" t="s">
        <v>21</v>
      </c>
      <c r="H13" s="55">
        <f>H14+H16</f>
        <v>3692.6000000000004</v>
      </c>
      <c r="I13" s="55">
        <f>I14+I16</f>
        <v>0</v>
      </c>
      <c r="J13" s="55">
        <f>J14+J16</f>
        <v>3859.2999999999993</v>
      </c>
      <c r="K13" s="70">
        <f>K14+K16</f>
        <v>0</v>
      </c>
      <c r="L13" s="70"/>
      <c r="M13" s="70"/>
      <c r="N13" s="70"/>
      <c r="O13" s="70">
        <f t="shared" ref="O13:T13" si="5">O14+O16</f>
        <v>4169</v>
      </c>
      <c r="P13" s="55">
        <f t="shared" si="5"/>
        <v>0</v>
      </c>
      <c r="Q13" s="70">
        <f t="shared" si="5"/>
        <v>0</v>
      </c>
      <c r="R13" s="70">
        <f t="shared" si="5"/>
        <v>0</v>
      </c>
      <c r="S13" s="70">
        <f t="shared" si="5"/>
        <v>0</v>
      </c>
      <c r="T13" s="76">
        <f t="shared" si="5"/>
        <v>4499.2</v>
      </c>
      <c r="U13" s="55">
        <f>U14</f>
        <v>0</v>
      </c>
      <c r="V13" s="57">
        <f t="shared" ref="V13:Y14" si="6">V14</f>
        <v>0</v>
      </c>
      <c r="W13" s="57">
        <f t="shared" si="6"/>
        <v>0</v>
      </c>
      <c r="X13" s="57">
        <f t="shared" si="6"/>
        <v>0</v>
      </c>
      <c r="Y13" s="106">
        <f>Y14+Y16</f>
        <v>4779.5709700000007</v>
      </c>
      <c r="Z13" s="46"/>
      <c r="AA13" s="81"/>
    </row>
    <row r="14" spans="1:27" ht="24" customHeight="1">
      <c r="A14" s="56" t="s">
        <v>21</v>
      </c>
      <c r="B14" s="57" t="s">
        <v>30</v>
      </c>
      <c r="C14" s="58">
        <v>901</v>
      </c>
      <c r="D14" s="58" t="s">
        <v>23</v>
      </c>
      <c r="E14" s="58" t="s">
        <v>25</v>
      </c>
      <c r="F14" s="58" t="s">
        <v>31</v>
      </c>
      <c r="G14" s="59" t="s">
        <v>21</v>
      </c>
      <c r="H14" s="55">
        <f>H15</f>
        <v>1408.2</v>
      </c>
      <c r="I14" s="55">
        <f>I15</f>
        <v>0</v>
      </c>
      <c r="J14" s="55">
        <f>J15</f>
        <v>1464.6000000000001</v>
      </c>
      <c r="K14" s="70">
        <f>K15</f>
        <v>0</v>
      </c>
      <c r="L14" s="70"/>
      <c r="M14" s="70"/>
      <c r="N14" s="70"/>
      <c r="O14" s="70">
        <f t="shared" ref="O14:U14" si="7">O15</f>
        <v>1539.7</v>
      </c>
      <c r="P14" s="55">
        <f t="shared" si="7"/>
        <v>0</v>
      </c>
      <c r="Q14" s="70">
        <f t="shared" si="7"/>
        <v>0</v>
      </c>
      <c r="R14" s="70">
        <f t="shared" si="7"/>
        <v>0</v>
      </c>
      <c r="S14" s="70">
        <f t="shared" si="7"/>
        <v>0</v>
      </c>
      <c r="T14" s="76">
        <f t="shared" si="7"/>
        <v>1625.2</v>
      </c>
      <c r="U14" s="55">
        <f t="shared" si="7"/>
        <v>0</v>
      </c>
      <c r="V14" s="57">
        <f t="shared" si="6"/>
        <v>0</v>
      </c>
      <c r="W14" s="57">
        <f t="shared" si="6"/>
        <v>0</v>
      </c>
      <c r="X14" s="57">
        <f t="shared" si="6"/>
        <v>0</v>
      </c>
      <c r="Y14" s="106">
        <f t="shared" si="6"/>
        <v>1805.0205000000001</v>
      </c>
      <c r="Z14" s="46"/>
      <c r="AA14" s="81"/>
    </row>
    <row r="15" spans="1:27" ht="63.75" customHeight="1">
      <c r="A15" s="56" t="s">
        <v>21</v>
      </c>
      <c r="B15" s="57" t="s">
        <v>32</v>
      </c>
      <c r="C15" s="58">
        <v>901</v>
      </c>
      <c r="D15" s="58" t="s">
        <v>23</v>
      </c>
      <c r="E15" s="58" t="s">
        <v>25</v>
      </c>
      <c r="F15" s="58" t="s">
        <v>31</v>
      </c>
      <c r="G15" s="59" t="s">
        <v>33</v>
      </c>
      <c r="H15" s="55">
        <v>1408.2</v>
      </c>
      <c r="I15" s="55"/>
      <c r="J15" s="55">
        <f>1124.9+339.7</f>
        <v>1464.6000000000001</v>
      </c>
      <c r="K15" s="70"/>
      <c r="L15" s="70"/>
      <c r="M15" s="70"/>
      <c r="N15" s="70"/>
      <c r="O15" s="70">
        <v>1539.7</v>
      </c>
      <c r="P15" s="55"/>
      <c r="Q15" s="73"/>
      <c r="R15" s="73"/>
      <c r="S15" s="73"/>
      <c r="T15" s="77">
        <v>1625.2</v>
      </c>
      <c r="U15" s="55"/>
      <c r="V15" s="57"/>
      <c r="W15" s="57"/>
      <c r="X15" s="57"/>
      <c r="Y15" s="106">
        <v>1805.0205000000001</v>
      </c>
      <c r="Z15" s="46"/>
      <c r="AA15" s="81"/>
    </row>
    <row r="16" spans="1:27" ht="23.25" customHeight="1">
      <c r="A16" s="56" t="s">
        <v>21</v>
      </c>
      <c r="B16" s="57" t="s">
        <v>34</v>
      </c>
      <c r="C16" s="58">
        <v>901</v>
      </c>
      <c r="D16" s="58" t="s">
        <v>23</v>
      </c>
      <c r="E16" s="58" t="s">
        <v>25</v>
      </c>
      <c r="F16" s="58" t="s">
        <v>35</v>
      </c>
      <c r="G16" s="59" t="s">
        <v>21</v>
      </c>
      <c r="H16" s="55">
        <f>H17+H18+H19</f>
        <v>2284.4</v>
      </c>
      <c r="I16" s="55">
        <f>I17+I18+I19</f>
        <v>0</v>
      </c>
      <c r="J16" s="55">
        <f>J17+J18+J19</f>
        <v>2394.6999999999994</v>
      </c>
      <c r="K16" s="70">
        <f>K17+K18+K19</f>
        <v>0</v>
      </c>
      <c r="L16" s="70"/>
      <c r="M16" s="70"/>
      <c r="N16" s="70"/>
      <c r="O16" s="70">
        <f t="shared" ref="O16:U16" si="8">O17+O18+O19</f>
        <v>2629.3</v>
      </c>
      <c r="P16" s="55">
        <f t="shared" si="8"/>
        <v>0</v>
      </c>
      <c r="Q16" s="70">
        <f t="shared" si="8"/>
        <v>0</v>
      </c>
      <c r="R16" s="70">
        <f t="shared" si="8"/>
        <v>0</v>
      </c>
      <c r="S16" s="70">
        <f t="shared" si="8"/>
        <v>0</v>
      </c>
      <c r="T16" s="76">
        <f t="shared" si="8"/>
        <v>2874</v>
      </c>
      <c r="U16" s="55">
        <f t="shared" si="8"/>
        <v>0</v>
      </c>
      <c r="V16" s="57">
        <f t="shared" ref="V16:Y16" si="9">V17+V18+V19</f>
        <v>0</v>
      </c>
      <c r="W16" s="57">
        <f t="shared" si="9"/>
        <v>0</v>
      </c>
      <c r="X16" s="57">
        <f t="shared" si="9"/>
        <v>0</v>
      </c>
      <c r="Y16" s="106">
        <f t="shared" si="9"/>
        <v>2974.5504700000001</v>
      </c>
      <c r="Z16" s="46"/>
      <c r="AA16" s="81"/>
    </row>
    <row r="17" spans="1:27" ht="63" customHeight="1">
      <c r="A17" s="56" t="s">
        <v>21</v>
      </c>
      <c r="B17" s="57" t="s">
        <v>32</v>
      </c>
      <c r="C17" s="58">
        <v>901</v>
      </c>
      <c r="D17" s="58" t="s">
        <v>23</v>
      </c>
      <c r="E17" s="58" t="s">
        <v>25</v>
      </c>
      <c r="F17" s="58" t="s">
        <v>35</v>
      </c>
      <c r="G17" s="59" t="s">
        <v>33</v>
      </c>
      <c r="H17" s="55">
        <v>2006.9</v>
      </c>
      <c r="I17" s="55"/>
      <c r="J17" s="55">
        <f>1508.3+129.6+455.5</f>
        <v>2093.3999999999996</v>
      </c>
      <c r="K17" s="70"/>
      <c r="L17" s="70"/>
      <c r="M17" s="70"/>
      <c r="N17" s="70"/>
      <c r="O17" s="70">
        <v>2254.3000000000002</v>
      </c>
      <c r="P17" s="55"/>
      <c r="Q17" s="73"/>
      <c r="R17" s="73"/>
      <c r="S17" s="73"/>
      <c r="T17" s="77">
        <f>2208.7+140.4</f>
        <v>2349.1</v>
      </c>
      <c r="U17" s="55"/>
      <c r="V17" s="57"/>
      <c r="W17" s="57"/>
      <c r="X17" s="57"/>
      <c r="Y17" s="106">
        <f>2449.65047</f>
        <v>2449.65047</v>
      </c>
      <c r="Z17" s="46"/>
      <c r="AA17" s="81"/>
    </row>
    <row r="18" spans="1:27" ht="26.25" customHeight="1">
      <c r="A18" s="56" t="s">
        <v>21</v>
      </c>
      <c r="B18" s="57" t="s">
        <v>36</v>
      </c>
      <c r="C18" s="58">
        <v>901</v>
      </c>
      <c r="D18" s="58" t="s">
        <v>23</v>
      </c>
      <c r="E18" s="58" t="s">
        <v>25</v>
      </c>
      <c r="F18" s="58" t="s">
        <v>35</v>
      </c>
      <c r="G18" s="59" t="s">
        <v>37</v>
      </c>
      <c r="H18" s="55">
        <v>273.8</v>
      </c>
      <c r="I18" s="55"/>
      <c r="J18" s="55">
        <f>2.1+1.8+32.3+43+210.4+8</f>
        <v>297.60000000000002</v>
      </c>
      <c r="K18" s="70"/>
      <c r="L18" s="70"/>
      <c r="M18" s="70"/>
      <c r="N18" s="70"/>
      <c r="O18" s="70">
        <f>311+21.5+4.8+34</f>
        <v>371.3</v>
      </c>
      <c r="P18" s="55"/>
      <c r="Q18" s="73"/>
      <c r="R18" s="73"/>
      <c r="S18" s="73"/>
      <c r="T18" s="77">
        <v>522.20000000000005</v>
      </c>
      <c r="U18" s="55"/>
      <c r="V18" s="78"/>
      <c r="W18" s="57"/>
      <c r="X18" s="57"/>
      <c r="Y18" s="106">
        <v>521.53300000000002</v>
      </c>
      <c r="Z18" s="46"/>
      <c r="AA18" s="81"/>
    </row>
    <row r="19" spans="1:27" ht="21.95" customHeight="1">
      <c r="A19" s="56" t="s">
        <v>21</v>
      </c>
      <c r="B19" s="57" t="s">
        <v>38</v>
      </c>
      <c r="C19" s="58">
        <v>901</v>
      </c>
      <c r="D19" s="58" t="s">
        <v>23</v>
      </c>
      <c r="E19" s="58" t="s">
        <v>25</v>
      </c>
      <c r="F19" s="58" t="s">
        <v>35</v>
      </c>
      <c r="G19" s="59" t="s">
        <v>39</v>
      </c>
      <c r="H19" s="55">
        <v>3.7</v>
      </c>
      <c r="I19" s="55"/>
      <c r="J19" s="55">
        <f>3.7</f>
        <v>3.7</v>
      </c>
      <c r="K19" s="70"/>
      <c r="L19" s="70"/>
      <c r="M19" s="70"/>
      <c r="N19" s="70"/>
      <c r="O19" s="70">
        <v>3.7</v>
      </c>
      <c r="P19" s="55"/>
      <c r="Q19" s="73"/>
      <c r="R19" s="73"/>
      <c r="S19" s="73"/>
      <c r="T19" s="77">
        <v>2.7</v>
      </c>
      <c r="U19" s="57"/>
      <c r="V19" s="57"/>
      <c r="W19" s="57"/>
      <c r="X19" s="57"/>
      <c r="Y19" s="106">
        <v>3.367</v>
      </c>
      <c r="Z19" s="46"/>
      <c r="AA19" s="81"/>
    </row>
    <row r="20" spans="1:27" ht="23.25" hidden="1" customHeight="1">
      <c r="A20" s="56"/>
      <c r="B20" s="57" t="s">
        <v>40</v>
      </c>
      <c r="C20" s="58">
        <v>901</v>
      </c>
      <c r="D20" s="58" t="s">
        <v>23</v>
      </c>
      <c r="E20" s="58">
        <v>13</v>
      </c>
      <c r="F20" s="58"/>
      <c r="G20" s="59"/>
      <c r="H20" s="55"/>
      <c r="I20" s="55"/>
      <c r="J20" s="55"/>
      <c r="K20" s="70"/>
      <c r="L20" s="70"/>
      <c r="M20" s="70"/>
      <c r="N20" s="70"/>
      <c r="O20" s="70">
        <f>O21</f>
        <v>0</v>
      </c>
      <c r="P20" s="55">
        <f t="shared" ref="P20:S22" si="10">P21</f>
        <v>0</v>
      </c>
      <c r="Q20" s="70">
        <f t="shared" si="10"/>
        <v>0</v>
      </c>
      <c r="R20" s="70">
        <f t="shared" si="10"/>
        <v>0</v>
      </c>
      <c r="S20" s="70">
        <f t="shared" si="10"/>
        <v>0</v>
      </c>
      <c r="T20" s="77">
        <f t="shared" ref="T20:T23" si="11">O20+P20+Q20+R20+S20</f>
        <v>0</v>
      </c>
      <c r="U20" s="57"/>
      <c r="V20" s="57"/>
      <c r="W20" s="57"/>
      <c r="X20" s="57"/>
      <c r="Y20" s="106"/>
      <c r="Z20" s="46"/>
      <c r="AA20" s="81"/>
    </row>
    <row r="21" spans="1:27" ht="44.25" hidden="1" customHeight="1">
      <c r="A21" s="56"/>
      <c r="B21" s="60" t="s">
        <v>41</v>
      </c>
      <c r="C21" s="58">
        <v>901</v>
      </c>
      <c r="D21" s="58" t="s">
        <v>23</v>
      </c>
      <c r="E21" s="58">
        <v>13</v>
      </c>
      <c r="F21" s="58" t="s">
        <v>42</v>
      </c>
      <c r="G21" s="59" t="s">
        <v>21</v>
      </c>
      <c r="H21" s="55"/>
      <c r="I21" s="55"/>
      <c r="J21" s="55"/>
      <c r="K21" s="70"/>
      <c r="L21" s="70"/>
      <c r="M21" s="70"/>
      <c r="N21" s="70"/>
      <c r="O21" s="70">
        <f>O22</f>
        <v>0</v>
      </c>
      <c r="P21" s="55">
        <f t="shared" si="10"/>
        <v>0</v>
      </c>
      <c r="Q21" s="70">
        <f t="shared" si="10"/>
        <v>0</v>
      </c>
      <c r="R21" s="70">
        <f t="shared" si="10"/>
        <v>0</v>
      </c>
      <c r="S21" s="70">
        <f t="shared" si="10"/>
        <v>0</v>
      </c>
      <c r="T21" s="77">
        <f t="shared" si="11"/>
        <v>0</v>
      </c>
      <c r="U21" s="57"/>
      <c r="V21" s="57"/>
      <c r="W21" s="57"/>
      <c r="X21" s="57"/>
      <c r="Y21" s="106"/>
      <c r="Z21" s="46"/>
      <c r="AA21" s="81"/>
    </row>
    <row r="22" spans="1:27" ht="38.25" hidden="1" customHeight="1">
      <c r="A22" s="56"/>
      <c r="B22" s="57" t="s">
        <v>43</v>
      </c>
      <c r="C22" s="58">
        <v>901</v>
      </c>
      <c r="D22" s="58" t="s">
        <v>23</v>
      </c>
      <c r="E22" s="58">
        <v>13</v>
      </c>
      <c r="F22" s="58" t="s">
        <v>44</v>
      </c>
      <c r="G22" s="59" t="s">
        <v>21</v>
      </c>
      <c r="H22" s="55"/>
      <c r="I22" s="55"/>
      <c r="J22" s="55"/>
      <c r="K22" s="70"/>
      <c r="L22" s="70"/>
      <c r="M22" s="70"/>
      <c r="N22" s="70"/>
      <c r="O22" s="70">
        <f>O23</f>
        <v>0</v>
      </c>
      <c r="P22" s="55">
        <f t="shared" si="10"/>
        <v>0</v>
      </c>
      <c r="Q22" s="70">
        <f t="shared" si="10"/>
        <v>0</v>
      </c>
      <c r="R22" s="70">
        <f t="shared" si="10"/>
        <v>0</v>
      </c>
      <c r="S22" s="70">
        <f t="shared" si="10"/>
        <v>0</v>
      </c>
      <c r="T22" s="77">
        <f t="shared" si="11"/>
        <v>0</v>
      </c>
      <c r="U22" s="57"/>
      <c r="V22" s="57"/>
      <c r="W22" s="57"/>
      <c r="X22" s="57"/>
      <c r="Y22" s="106"/>
      <c r="Z22" s="46"/>
      <c r="AA22" s="81"/>
    </row>
    <row r="23" spans="1:27" ht="25.5" hidden="1" customHeight="1">
      <c r="A23" s="56"/>
      <c r="B23" s="57" t="s">
        <v>45</v>
      </c>
      <c r="C23" s="58">
        <v>901</v>
      </c>
      <c r="D23" s="58" t="s">
        <v>23</v>
      </c>
      <c r="E23" s="58">
        <v>13</v>
      </c>
      <c r="F23" s="58" t="s">
        <v>44</v>
      </c>
      <c r="G23" s="59">
        <v>300</v>
      </c>
      <c r="H23" s="55"/>
      <c r="I23" s="55"/>
      <c r="J23" s="55"/>
      <c r="K23" s="70"/>
      <c r="L23" s="70"/>
      <c r="M23" s="70"/>
      <c r="N23" s="70"/>
      <c r="O23" s="70"/>
      <c r="P23" s="55">
        <v>0</v>
      </c>
      <c r="Q23" s="55"/>
      <c r="R23" s="55"/>
      <c r="S23" s="55"/>
      <c r="T23" s="77">
        <f t="shared" si="11"/>
        <v>0</v>
      </c>
      <c r="U23" s="57"/>
      <c r="V23" s="57"/>
      <c r="W23" s="57"/>
      <c r="X23" s="57"/>
      <c r="Y23" s="106"/>
      <c r="Z23" s="46"/>
      <c r="AA23" s="81"/>
    </row>
    <row r="24" spans="1:27" ht="24" customHeight="1">
      <c r="A24" s="61">
        <v>2</v>
      </c>
      <c r="B24" s="52" t="s">
        <v>46</v>
      </c>
      <c r="C24" s="53">
        <v>902</v>
      </c>
      <c r="D24" s="53" t="s">
        <v>21</v>
      </c>
      <c r="E24" s="53" t="s">
        <v>21</v>
      </c>
      <c r="F24" s="53" t="s">
        <v>21</v>
      </c>
      <c r="G24" s="54" t="s">
        <v>21</v>
      </c>
      <c r="H24" s="55" t="e">
        <f>#REF!+H25</f>
        <v>#REF!</v>
      </c>
      <c r="I24" s="55" t="e">
        <f>#REF!+I25</f>
        <v>#REF!</v>
      </c>
      <c r="J24" s="71" t="e">
        <f>#REF!+J25</f>
        <v>#REF!</v>
      </c>
      <c r="K24" s="72" t="e">
        <f>#REF!+K25</f>
        <v>#REF!</v>
      </c>
      <c r="L24" s="72"/>
      <c r="M24" s="72"/>
      <c r="N24" s="72"/>
      <c r="O24" s="69" t="e">
        <f>#REF!+O25</f>
        <v>#REF!</v>
      </c>
      <c r="P24" s="68" t="e">
        <f>#REF!+P25</f>
        <v>#REF!</v>
      </c>
      <c r="Q24" s="69" t="e">
        <f>#REF!+Q25</f>
        <v>#REF!</v>
      </c>
      <c r="R24" s="69" t="e">
        <f>#REF!+R25</f>
        <v>#REF!</v>
      </c>
      <c r="S24" s="69" t="e">
        <f>#REF!+S25</f>
        <v>#REF!</v>
      </c>
      <c r="T24" s="75">
        <f t="shared" ref="T24:Y24" si="12">T25</f>
        <v>107372.20000000001</v>
      </c>
      <c r="U24" s="79">
        <f t="shared" si="12"/>
        <v>0</v>
      </c>
      <c r="V24" s="79">
        <f t="shared" si="12"/>
        <v>0</v>
      </c>
      <c r="W24" s="79">
        <f t="shared" si="12"/>
        <v>0</v>
      </c>
      <c r="X24" s="79">
        <f t="shared" si="12"/>
        <v>14808</v>
      </c>
      <c r="Y24" s="103">
        <f t="shared" si="12"/>
        <v>141630.90638</v>
      </c>
      <c r="Z24" s="46"/>
      <c r="AA24" s="81"/>
    </row>
    <row r="25" spans="1:27">
      <c r="A25" s="56" t="s">
        <v>21</v>
      </c>
      <c r="B25" s="57" t="s">
        <v>47</v>
      </c>
      <c r="C25" s="58">
        <v>902</v>
      </c>
      <c r="D25" s="58" t="s">
        <v>48</v>
      </c>
      <c r="E25" s="58" t="s">
        <v>21</v>
      </c>
      <c r="F25" s="58" t="s">
        <v>21</v>
      </c>
      <c r="G25" s="59" t="s">
        <v>21</v>
      </c>
      <c r="H25" s="55">
        <f>H26+H114</f>
        <v>67511.299999999988</v>
      </c>
      <c r="I25" s="55">
        <f>I26+I114</f>
        <v>4620.3999999999996</v>
      </c>
      <c r="J25" s="73" t="e">
        <f>J26+J114</f>
        <v>#REF!</v>
      </c>
      <c r="K25" s="55" t="e">
        <f>K26+K114</f>
        <v>#REF!</v>
      </c>
      <c r="L25" s="55"/>
      <c r="M25" s="55"/>
      <c r="N25" s="55"/>
      <c r="O25" s="70" t="e">
        <f t="shared" ref="O25:U25" si="13">O26+O114</f>
        <v>#REF!</v>
      </c>
      <c r="P25" s="55" t="e">
        <f t="shared" si="13"/>
        <v>#REF!</v>
      </c>
      <c r="Q25" s="70" t="e">
        <f t="shared" si="13"/>
        <v>#REF!</v>
      </c>
      <c r="R25" s="70" t="e">
        <f t="shared" si="13"/>
        <v>#REF!</v>
      </c>
      <c r="S25" s="70" t="e">
        <f t="shared" si="13"/>
        <v>#REF!</v>
      </c>
      <c r="T25" s="76">
        <f t="shared" si="13"/>
        <v>107372.20000000001</v>
      </c>
      <c r="U25" s="70">
        <f t="shared" si="13"/>
        <v>0</v>
      </c>
      <c r="V25" s="57">
        <f t="shared" ref="V25:Y25" si="14">V26+V114</f>
        <v>0</v>
      </c>
      <c r="W25" s="57">
        <f t="shared" si="14"/>
        <v>0</v>
      </c>
      <c r="X25" s="57">
        <f t="shared" si="14"/>
        <v>14808</v>
      </c>
      <c r="Y25" s="106">
        <f t="shared" si="14"/>
        <v>141630.90638</v>
      </c>
      <c r="Z25" s="46"/>
      <c r="AA25" s="81"/>
    </row>
    <row r="26" spans="1:27">
      <c r="A26" s="56" t="s">
        <v>21</v>
      </c>
      <c r="B26" s="57" t="s">
        <v>49</v>
      </c>
      <c r="C26" s="58">
        <v>902</v>
      </c>
      <c r="D26" s="58" t="s">
        <v>48</v>
      </c>
      <c r="E26" s="58" t="s">
        <v>23</v>
      </c>
      <c r="F26" s="58" t="s">
        <v>21</v>
      </c>
      <c r="G26" s="59" t="s">
        <v>21</v>
      </c>
      <c r="H26" s="55">
        <f>H27+H108+H111</f>
        <v>47106.799999999996</v>
      </c>
      <c r="I26" s="55">
        <f>I27+I108+I111</f>
        <v>4620.3999999999996</v>
      </c>
      <c r="J26" s="73" t="e">
        <f>J27+J108+J111+#REF!</f>
        <v>#REF!</v>
      </c>
      <c r="K26" s="55" t="e">
        <f>K27+K108+K111+#REF!</f>
        <v>#REF!</v>
      </c>
      <c r="L26" s="55"/>
      <c r="M26" s="55"/>
      <c r="N26" s="55"/>
      <c r="O26" s="70" t="e">
        <f>O27+O108+O111+#REF!</f>
        <v>#REF!</v>
      </c>
      <c r="P26" s="55" t="e">
        <f>P27+P108+P111+#REF!</f>
        <v>#REF!</v>
      </c>
      <c r="Q26" s="70" t="e">
        <f>Q27+Q108+Q111+#REF!</f>
        <v>#REF!</v>
      </c>
      <c r="R26" s="70" t="e">
        <f>R27+R108+R111+#REF!</f>
        <v>#REF!</v>
      </c>
      <c r="S26" s="70" t="e">
        <f>S27+S108+S111+#REF!</f>
        <v>#REF!</v>
      </c>
      <c r="T26" s="76">
        <f t="shared" ref="T26:Y26" si="15">T27+T108+T111</f>
        <v>73920.600000000006</v>
      </c>
      <c r="U26" s="76">
        <f t="shared" si="15"/>
        <v>0</v>
      </c>
      <c r="V26" s="76">
        <f t="shared" si="15"/>
        <v>0</v>
      </c>
      <c r="W26" s="76">
        <f t="shared" si="15"/>
        <v>0</v>
      </c>
      <c r="X26" s="76">
        <f t="shared" si="15"/>
        <v>4813.3999999999996</v>
      </c>
      <c r="Y26" s="106">
        <f t="shared" si="15"/>
        <v>95300.464729999992</v>
      </c>
      <c r="Z26" s="46"/>
      <c r="AA26" s="81"/>
    </row>
    <row r="27" spans="1:27" ht="44.25" customHeight="1">
      <c r="A27" s="56"/>
      <c r="B27" s="62" t="s">
        <v>50</v>
      </c>
      <c r="C27" s="58">
        <v>902</v>
      </c>
      <c r="D27" s="58" t="s">
        <v>48</v>
      </c>
      <c r="E27" s="58" t="s">
        <v>23</v>
      </c>
      <c r="F27" s="58" t="s">
        <v>51</v>
      </c>
      <c r="G27" s="59" t="s">
        <v>21</v>
      </c>
      <c r="H27" s="55">
        <f>H28+H60+H84</f>
        <v>46757.599999999999</v>
      </c>
      <c r="I27" s="55">
        <f>I28+I60+I84</f>
        <v>4620.3999999999996</v>
      </c>
      <c r="J27" s="73">
        <f>J28+J60+J84</f>
        <v>49597.399999999994</v>
      </c>
      <c r="K27" s="55">
        <f>K28+K60+K84</f>
        <v>14363.8</v>
      </c>
      <c r="L27" s="55"/>
      <c r="M27" s="55"/>
      <c r="N27" s="55"/>
      <c r="O27" s="70">
        <f t="shared" ref="O27:U27" si="16">O28+O60+O84</f>
        <v>51639.100000000006</v>
      </c>
      <c r="P27" s="55">
        <f t="shared" si="16"/>
        <v>9839.7999999999993</v>
      </c>
      <c r="Q27" s="70">
        <f t="shared" si="16"/>
        <v>0</v>
      </c>
      <c r="R27" s="70">
        <f t="shared" si="16"/>
        <v>0</v>
      </c>
      <c r="S27" s="70">
        <f t="shared" si="16"/>
        <v>0</v>
      </c>
      <c r="T27" s="76">
        <f t="shared" si="16"/>
        <v>73920.600000000006</v>
      </c>
      <c r="U27" s="55">
        <f t="shared" si="16"/>
        <v>0</v>
      </c>
      <c r="V27" s="55">
        <f t="shared" ref="V27:Y27" si="17">V28+V60+V84</f>
        <v>0</v>
      </c>
      <c r="W27" s="57">
        <f t="shared" si="17"/>
        <v>0</v>
      </c>
      <c r="X27" s="57">
        <f t="shared" si="17"/>
        <v>4813.3999999999996</v>
      </c>
      <c r="Y27" s="106">
        <f t="shared" si="17"/>
        <v>95250.464729999992</v>
      </c>
      <c r="Z27" s="46"/>
      <c r="AA27" s="81"/>
    </row>
    <row r="28" spans="1:27" ht="28.5" customHeight="1">
      <c r="A28" s="56"/>
      <c r="B28" s="62" t="s">
        <v>52</v>
      </c>
      <c r="C28" s="58">
        <v>902</v>
      </c>
      <c r="D28" s="58" t="s">
        <v>48</v>
      </c>
      <c r="E28" s="58" t="s">
        <v>23</v>
      </c>
      <c r="F28" s="58" t="s">
        <v>53</v>
      </c>
      <c r="G28" s="59" t="s">
        <v>21</v>
      </c>
      <c r="H28" s="55">
        <f>H29+H31+H36+H41+H43+H46</f>
        <v>32401</v>
      </c>
      <c r="I28" s="55">
        <f>I29+I31+I36+I41+I43+I46</f>
        <v>2730.3999999999996</v>
      </c>
      <c r="J28" s="73">
        <f>J29+J31+J36+J41+J43+J46+J56</f>
        <v>32146.499999999996</v>
      </c>
      <c r="K28" s="55">
        <f>K29+K31+K36+K41+K43+K46+K56+K34+K53</f>
        <v>12266.4</v>
      </c>
      <c r="L28" s="55"/>
      <c r="M28" s="55"/>
      <c r="N28" s="55"/>
      <c r="O28" s="70">
        <f>O29+O31+O34+O36+O41+O43+O46+O50+O56+O53+O58</f>
        <v>33115.500000000007</v>
      </c>
      <c r="P28" s="55">
        <f>P29+P31+P34+P36+P41+P43+P46+P50+P56+P53+P58</f>
        <v>3701.2999999999997</v>
      </c>
      <c r="Q28" s="70">
        <f>Q29+Q31+Q36+Q41+Q43+Q46+Q48+Q56+Q34+Q53+Q50</f>
        <v>0</v>
      </c>
      <c r="R28" s="70">
        <f>R29+R31+R36+R41+R43+R46+R48+R56+R34+R53+R50</f>
        <v>0</v>
      </c>
      <c r="S28" s="70">
        <f>S29+S31+S36+S41+S43+S46+S48+S56+S34+S53+S50</f>
        <v>0</v>
      </c>
      <c r="T28" s="76">
        <f>T29+T31+T36+T41+T43+T46+T50+T55+T52</f>
        <v>49855.6</v>
      </c>
      <c r="U28" s="55">
        <f>U34+U36+U41+U43+U56+U58+U29+U31+U50</f>
        <v>0</v>
      </c>
      <c r="V28" s="55">
        <f>V34+V36+V41+V43+V56+V58+V29+V31+V50</f>
        <v>0</v>
      </c>
      <c r="W28" s="57">
        <f>W34+W36+W41+W43+W56+W58+W29+W31+W50</f>
        <v>0</v>
      </c>
      <c r="X28" s="76">
        <f>X29+X31+X36+X41+X43+X46+X50+X55+X52</f>
        <v>2940.2</v>
      </c>
      <c r="Y28" s="106">
        <f>Y29+Y31+Y36+Y41+Y43+Y46+Y50+Y55+Y52</f>
        <v>64960.818329999995</v>
      </c>
      <c r="Z28" s="46"/>
      <c r="AA28" s="81"/>
    </row>
    <row r="29" spans="1:27" ht="19.5" customHeight="1">
      <c r="A29" s="56"/>
      <c r="B29" s="57" t="s">
        <v>54</v>
      </c>
      <c r="C29" s="58">
        <v>902</v>
      </c>
      <c r="D29" s="58" t="s">
        <v>48</v>
      </c>
      <c r="E29" s="58" t="s">
        <v>23</v>
      </c>
      <c r="F29" s="58" t="s">
        <v>55</v>
      </c>
      <c r="G29" s="59"/>
      <c r="H29" s="55">
        <f>H30</f>
        <v>942.9</v>
      </c>
      <c r="I29" s="55">
        <f>I30</f>
        <v>0</v>
      </c>
      <c r="J29" s="73">
        <f>J30</f>
        <v>298.8</v>
      </c>
      <c r="K29" s="55">
        <f>K30</f>
        <v>0</v>
      </c>
      <c r="L29" s="55"/>
      <c r="M29" s="55"/>
      <c r="N29" s="55"/>
      <c r="O29" s="70">
        <f t="shared" ref="O29:Y29" si="18">O30</f>
        <v>0</v>
      </c>
      <c r="P29" s="55">
        <f t="shared" si="18"/>
        <v>0</v>
      </c>
      <c r="Q29" s="70">
        <f t="shared" si="18"/>
        <v>0</v>
      </c>
      <c r="R29" s="70">
        <f t="shared" si="18"/>
        <v>0</v>
      </c>
      <c r="S29" s="70">
        <f t="shared" si="18"/>
        <v>0</v>
      </c>
      <c r="T29" s="76">
        <f t="shared" si="18"/>
        <v>0</v>
      </c>
      <c r="U29" s="55">
        <f t="shared" si="18"/>
        <v>0</v>
      </c>
      <c r="V29" s="55">
        <f t="shared" si="18"/>
        <v>0</v>
      </c>
      <c r="W29" s="57">
        <f t="shared" si="18"/>
        <v>0</v>
      </c>
      <c r="X29" s="57">
        <f t="shared" si="18"/>
        <v>0</v>
      </c>
      <c r="Y29" s="106">
        <f t="shared" si="18"/>
        <v>1729.2842800000001</v>
      </c>
      <c r="Z29" s="46"/>
      <c r="AA29" s="81"/>
    </row>
    <row r="30" spans="1:27" ht="37.5">
      <c r="A30" s="56"/>
      <c r="B30" s="57" t="s">
        <v>56</v>
      </c>
      <c r="C30" s="58">
        <v>902</v>
      </c>
      <c r="D30" s="58" t="s">
        <v>48</v>
      </c>
      <c r="E30" s="58" t="s">
        <v>23</v>
      </c>
      <c r="F30" s="58" t="s">
        <v>55</v>
      </c>
      <c r="G30" s="59">
        <v>600</v>
      </c>
      <c r="H30" s="55">
        <v>942.9</v>
      </c>
      <c r="I30" s="55"/>
      <c r="J30" s="73">
        <v>298.8</v>
      </c>
      <c r="K30" s="70"/>
      <c r="L30" s="70"/>
      <c r="M30" s="70"/>
      <c r="N30" s="70"/>
      <c r="O30" s="70"/>
      <c r="P30" s="55">
        <v>0</v>
      </c>
      <c r="Q30" s="55">
        <v>0</v>
      </c>
      <c r="R30" s="73"/>
      <c r="S30" s="73"/>
      <c r="T30" s="77"/>
      <c r="U30" s="55">
        <v>0</v>
      </c>
      <c r="V30" s="55">
        <v>0</v>
      </c>
      <c r="W30" s="57"/>
      <c r="X30" s="57"/>
      <c r="Y30" s="106">
        <v>1729.2842800000001</v>
      </c>
      <c r="Z30" s="46"/>
      <c r="AA30" s="81"/>
    </row>
    <row r="31" spans="1:27" ht="59.25" customHeight="1">
      <c r="A31" s="56"/>
      <c r="B31" s="57" t="s">
        <v>57</v>
      </c>
      <c r="C31" s="58">
        <v>902</v>
      </c>
      <c r="D31" s="58" t="s">
        <v>48</v>
      </c>
      <c r="E31" s="58" t="s">
        <v>23</v>
      </c>
      <c r="F31" s="58" t="s">
        <v>58</v>
      </c>
      <c r="G31" s="59" t="s">
        <v>21</v>
      </c>
      <c r="H31" s="55">
        <f>H33</f>
        <v>4360</v>
      </c>
      <c r="I31" s="55">
        <f>I33</f>
        <v>0</v>
      </c>
      <c r="J31" s="73">
        <f>J33</f>
        <v>645</v>
      </c>
      <c r="K31" s="55">
        <f>K33</f>
        <v>0</v>
      </c>
      <c r="L31" s="55"/>
      <c r="M31" s="55"/>
      <c r="N31" s="55"/>
      <c r="O31" s="70"/>
      <c r="P31" s="55">
        <f>P33</f>
        <v>0</v>
      </c>
      <c r="Q31" s="70">
        <f>Q33</f>
        <v>0</v>
      </c>
      <c r="R31" s="70">
        <f>R33</f>
        <v>0</v>
      </c>
      <c r="S31" s="70">
        <f>S33</f>
        <v>0</v>
      </c>
      <c r="T31" s="76">
        <f t="shared" ref="T31:Y31" si="19">T32+T34</f>
        <v>5.5</v>
      </c>
      <c r="U31" s="55">
        <f t="shared" si="19"/>
        <v>0</v>
      </c>
      <c r="V31" s="55">
        <f t="shared" si="19"/>
        <v>0</v>
      </c>
      <c r="W31" s="57">
        <f t="shared" si="19"/>
        <v>0</v>
      </c>
      <c r="X31" s="76">
        <f t="shared" si="19"/>
        <v>537.70000000000005</v>
      </c>
      <c r="Y31" s="106">
        <f t="shared" si="19"/>
        <v>4325.3419999999996</v>
      </c>
      <c r="Z31" s="46"/>
      <c r="AA31" s="81"/>
    </row>
    <row r="32" spans="1:27" ht="82.5" customHeight="1">
      <c r="A32" s="56"/>
      <c r="B32" s="57" t="s">
        <v>59</v>
      </c>
      <c r="C32" s="58">
        <v>902</v>
      </c>
      <c r="D32" s="58" t="s">
        <v>48</v>
      </c>
      <c r="E32" s="58" t="s">
        <v>23</v>
      </c>
      <c r="F32" s="58" t="s">
        <v>60</v>
      </c>
      <c r="G32" s="59"/>
      <c r="H32" s="55"/>
      <c r="I32" s="55"/>
      <c r="J32" s="73"/>
      <c r="K32" s="55"/>
      <c r="L32" s="55"/>
      <c r="M32" s="55"/>
      <c r="N32" s="55"/>
      <c r="O32" s="70"/>
      <c r="P32" s="55"/>
      <c r="Q32" s="70"/>
      <c r="R32" s="70"/>
      <c r="S32" s="70"/>
      <c r="T32" s="77">
        <f>T33</f>
        <v>0</v>
      </c>
      <c r="U32" s="55"/>
      <c r="V32" s="55"/>
      <c r="W32" s="57"/>
      <c r="X32" s="57">
        <f>X33</f>
        <v>0</v>
      </c>
      <c r="Y32" s="106">
        <f>Y33</f>
        <v>3782.1419999999998</v>
      </c>
      <c r="Z32" s="46"/>
      <c r="AA32" s="81"/>
    </row>
    <row r="33" spans="1:27" ht="41.25" customHeight="1">
      <c r="A33" s="56"/>
      <c r="B33" s="57" t="s">
        <v>56</v>
      </c>
      <c r="C33" s="58">
        <v>902</v>
      </c>
      <c r="D33" s="58" t="s">
        <v>48</v>
      </c>
      <c r="E33" s="58" t="s">
        <v>23</v>
      </c>
      <c r="F33" s="58" t="s">
        <v>60</v>
      </c>
      <c r="G33" s="59">
        <v>600</v>
      </c>
      <c r="H33" s="55">
        <v>4360</v>
      </c>
      <c r="I33" s="55"/>
      <c r="J33" s="73">
        <v>645</v>
      </c>
      <c r="K33" s="70">
        <v>0</v>
      </c>
      <c r="L33" s="70"/>
      <c r="M33" s="70"/>
      <c r="N33" s="70"/>
      <c r="O33" s="70"/>
      <c r="P33" s="55">
        <v>0</v>
      </c>
      <c r="Q33" s="55">
        <v>0</v>
      </c>
      <c r="R33" s="73"/>
      <c r="S33" s="73"/>
      <c r="T33" s="77"/>
      <c r="U33" s="55">
        <v>0</v>
      </c>
      <c r="V33" s="55">
        <v>0</v>
      </c>
      <c r="W33" s="57"/>
      <c r="X33" s="57"/>
      <c r="Y33" s="106">
        <v>3782.1419999999998</v>
      </c>
      <c r="Z33" s="46"/>
      <c r="AA33" s="81"/>
    </row>
    <row r="34" spans="1:27" ht="59.25" customHeight="1">
      <c r="A34" s="56"/>
      <c r="B34" s="63" t="s">
        <v>61</v>
      </c>
      <c r="C34" s="58">
        <v>902</v>
      </c>
      <c r="D34" s="58" t="s">
        <v>48</v>
      </c>
      <c r="E34" s="58" t="s">
        <v>23</v>
      </c>
      <c r="F34" s="58" t="s">
        <v>62</v>
      </c>
      <c r="G34" s="59"/>
      <c r="H34" s="55"/>
      <c r="I34" s="55"/>
      <c r="J34" s="73">
        <f>J35</f>
        <v>0</v>
      </c>
      <c r="K34" s="70">
        <f>K35</f>
        <v>1010.1</v>
      </c>
      <c r="L34" s="70"/>
      <c r="M34" s="70"/>
      <c r="N34" s="70"/>
      <c r="O34" s="70">
        <f t="shared" ref="O34:U34" si="20">O35</f>
        <v>5.8</v>
      </c>
      <c r="P34" s="55">
        <f t="shared" si="20"/>
        <v>565.70000000000005</v>
      </c>
      <c r="Q34" s="70">
        <f t="shared" si="20"/>
        <v>0</v>
      </c>
      <c r="R34" s="70">
        <f t="shared" si="20"/>
        <v>0</v>
      </c>
      <c r="S34" s="70">
        <f t="shared" si="20"/>
        <v>0</v>
      </c>
      <c r="T34" s="76">
        <f t="shared" si="20"/>
        <v>5.5</v>
      </c>
      <c r="U34" s="57">
        <f t="shared" si="20"/>
        <v>0</v>
      </c>
      <c r="V34" s="57">
        <f t="shared" ref="V34:Y34" si="21">V35</f>
        <v>0</v>
      </c>
      <c r="W34" s="57">
        <f t="shared" si="21"/>
        <v>0</v>
      </c>
      <c r="X34" s="57">
        <f t="shared" si="21"/>
        <v>537.70000000000005</v>
      </c>
      <c r="Y34" s="106">
        <f t="shared" si="21"/>
        <v>543.20000000000005</v>
      </c>
      <c r="Z34" s="46"/>
      <c r="AA34" s="81"/>
    </row>
    <row r="35" spans="1:27" ht="42" customHeight="1">
      <c r="A35" s="56"/>
      <c r="B35" s="57" t="s">
        <v>56</v>
      </c>
      <c r="C35" s="58">
        <v>902</v>
      </c>
      <c r="D35" s="58" t="s">
        <v>48</v>
      </c>
      <c r="E35" s="58" t="s">
        <v>23</v>
      </c>
      <c r="F35" s="58" t="s">
        <v>62</v>
      </c>
      <c r="G35" s="59">
        <v>600</v>
      </c>
      <c r="H35" s="55"/>
      <c r="I35" s="55"/>
      <c r="J35" s="73"/>
      <c r="K35" s="70">
        <v>1010.1</v>
      </c>
      <c r="L35" s="70"/>
      <c r="M35" s="70"/>
      <c r="N35" s="70"/>
      <c r="O35" s="70">
        <v>5.8</v>
      </c>
      <c r="P35" s="55">
        <v>565.70000000000005</v>
      </c>
      <c r="Q35" s="55">
        <v>0</v>
      </c>
      <c r="R35" s="73"/>
      <c r="S35" s="73"/>
      <c r="T35" s="77">
        <v>5.5</v>
      </c>
      <c r="U35" s="57"/>
      <c r="V35" s="57"/>
      <c r="W35" s="57"/>
      <c r="X35" s="57">
        <v>537.70000000000005</v>
      </c>
      <c r="Y35" s="106">
        <f>T35+U35+V35+W35+X35</f>
        <v>543.20000000000005</v>
      </c>
      <c r="Z35" s="46"/>
      <c r="AA35" s="81"/>
    </row>
    <row r="36" spans="1:27" ht="21.75" customHeight="1">
      <c r="A36" s="56"/>
      <c r="B36" s="57" t="s">
        <v>63</v>
      </c>
      <c r="C36" s="58">
        <v>902</v>
      </c>
      <c r="D36" s="58" t="s">
        <v>48</v>
      </c>
      <c r="E36" s="58" t="s">
        <v>23</v>
      </c>
      <c r="F36" s="58" t="s">
        <v>64</v>
      </c>
      <c r="G36" s="59"/>
      <c r="H36" s="55">
        <f>H37+H39</f>
        <v>27078.1</v>
      </c>
      <c r="I36" s="55">
        <f>I37+I39</f>
        <v>2204.1999999999998</v>
      </c>
      <c r="J36" s="73">
        <f>J37+J39</f>
        <v>31182.699999999997</v>
      </c>
      <c r="K36" s="55">
        <f>K37+K39</f>
        <v>1558.4</v>
      </c>
      <c r="L36" s="55"/>
      <c r="M36" s="55"/>
      <c r="N36" s="55"/>
      <c r="O36" s="70">
        <f t="shared" ref="O36:U36" si="22">O37+O39</f>
        <v>33088.000000000007</v>
      </c>
      <c r="P36" s="55">
        <f t="shared" si="22"/>
        <v>2357</v>
      </c>
      <c r="Q36" s="70">
        <f t="shared" si="22"/>
        <v>0</v>
      </c>
      <c r="R36" s="70">
        <f t="shared" si="22"/>
        <v>0</v>
      </c>
      <c r="S36" s="70">
        <f t="shared" si="22"/>
        <v>0</v>
      </c>
      <c r="T36" s="76">
        <f t="shared" si="22"/>
        <v>49750.1</v>
      </c>
      <c r="U36" s="57">
        <f t="shared" si="22"/>
        <v>0</v>
      </c>
      <c r="V36" s="55">
        <f t="shared" ref="V36:Y36" si="23">V37+V39</f>
        <v>0</v>
      </c>
      <c r="W36" s="57">
        <f t="shared" si="23"/>
        <v>0</v>
      </c>
      <c r="X36" s="57">
        <f t="shared" si="23"/>
        <v>1398.1</v>
      </c>
      <c r="Y36" s="106">
        <f t="shared" si="23"/>
        <v>58328.409049999995</v>
      </c>
      <c r="Z36" s="46"/>
      <c r="AA36" s="81"/>
    </row>
    <row r="37" spans="1:27" ht="41.25" customHeight="1">
      <c r="A37" s="56" t="s">
        <v>21</v>
      </c>
      <c r="B37" s="57" t="s">
        <v>65</v>
      </c>
      <c r="C37" s="58">
        <v>902</v>
      </c>
      <c r="D37" s="58" t="s">
        <v>48</v>
      </c>
      <c r="E37" s="58" t="s">
        <v>23</v>
      </c>
      <c r="F37" s="58" t="s">
        <v>66</v>
      </c>
      <c r="G37" s="59" t="s">
        <v>21</v>
      </c>
      <c r="H37" s="55">
        <f>H38</f>
        <v>26962.1</v>
      </c>
      <c r="I37" s="55">
        <f>I38</f>
        <v>0</v>
      </c>
      <c r="J37" s="73">
        <f>J38</f>
        <v>31100.699999999997</v>
      </c>
      <c r="K37" s="55">
        <f>K38</f>
        <v>0</v>
      </c>
      <c r="L37" s="55"/>
      <c r="M37" s="55"/>
      <c r="N37" s="55"/>
      <c r="O37" s="70">
        <f t="shared" ref="O37:U37" si="24">O38</f>
        <v>32964.000000000007</v>
      </c>
      <c r="P37" s="55">
        <f t="shared" si="24"/>
        <v>0</v>
      </c>
      <c r="Q37" s="70">
        <f t="shared" si="24"/>
        <v>0</v>
      </c>
      <c r="R37" s="70">
        <f t="shared" si="24"/>
        <v>0</v>
      </c>
      <c r="S37" s="70">
        <f t="shared" si="24"/>
        <v>0</v>
      </c>
      <c r="T37" s="76">
        <f t="shared" si="24"/>
        <v>49676.5</v>
      </c>
      <c r="U37" s="57">
        <f t="shared" si="24"/>
        <v>0</v>
      </c>
      <c r="V37" s="55">
        <f t="shared" ref="V37:Y37" si="25">V38</f>
        <v>0</v>
      </c>
      <c r="W37" s="57">
        <f t="shared" si="25"/>
        <v>0</v>
      </c>
      <c r="X37" s="57">
        <f t="shared" si="25"/>
        <v>0</v>
      </c>
      <c r="Y37" s="106">
        <f t="shared" si="25"/>
        <v>56856.709049999998</v>
      </c>
      <c r="Z37" s="46"/>
      <c r="AA37" s="81"/>
    </row>
    <row r="38" spans="1:27" ht="40.5" customHeight="1">
      <c r="A38" s="56" t="s">
        <v>21</v>
      </c>
      <c r="B38" s="57" t="s">
        <v>56</v>
      </c>
      <c r="C38" s="58">
        <v>902</v>
      </c>
      <c r="D38" s="58" t="s">
        <v>48</v>
      </c>
      <c r="E38" s="58" t="s">
        <v>23</v>
      </c>
      <c r="F38" s="58" t="s">
        <v>66</v>
      </c>
      <c r="G38" s="59" t="s">
        <v>67</v>
      </c>
      <c r="H38" s="55">
        <f>29282.3-2204.2-116</f>
        <v>26962.1</v>
      </c>
      <c r="I38" s="55"/>
      <c r="J38" s="73">
        <f>32659.1-1558.4</f>
        <v>31100.699999999997</v>
      </c>
      <c r="K38" s="70"/>
      <c r="L38" s="70"/>
      <c r="M38" s="70"/>
      <c r="N38" s="70"/>
      <c r="O38" s="70">
        <f>34215.9-5.8-0.6-1.1-0.6-1.1-0.6-1.6-1240.5</f>
        <v>32964.000000000007</v>
      </c>
      <c r="P38" s="55">
        <v>0</v>
      </c>
      <c r="Q38" s="73"/>
      <c r="R38" s="73"/>
      <c r="S38" s="73"/>
      <c r="T38" s="77">
        <f>51153.7-1471.7-5.5</f>
        <v>49676.5</v>
      </c>
      <c r="U38" s="57">
        <v>0</v>
      </c>
      <c r="V38" s="55">
        <v>0</v>
      </c>
      <c r="W38" s="57"/>
      <c r="X38" s="57"/>
      <c r="Y38" s="106">
        <v>56856.709049999998</v>
      </c>
      <c r="Z38" s="46"/>
      <c r="AA38" s="81"/>
    </row>
    <row r="39" spans="1:27" ht="39" customHeight="1">
      <c r="A39" s="56"/>
      <c r="B39" s="57" t="s">
        <v>68</v>
      </c>
      <c r="C39" s="58">
        <v>902</v>
      </c>
      <c r="D39" s="58" t="s">
        <v>48</v>
      </c>
      <c r="E39" s="58" t="s">
        <v>23</v>
      </c>
      <c r="F39" s="58" t="s">
        <v>69</v>
      </c>
      <c r="G39" s="59"/>
      <c r="H39" s="55">
        <f>H40</f>
        <v>116</v>
      </c>
      <c r="I39" s="55">
        <f>I40</f>
        <v>2204.1999999999998</v>
      </c>
      <c r="J39" s="73">
        <f>J40</f>
        <v>82</v>
      </c>
      <c r="K39" s="55">
        <f>K40</f>
        <v>1558.4</v>
      </c>
      <c r="L39" s="55"/>
      <c r="M39" s="55"/>
      <c r="N39" s="55"/>
      <c r="O39" s="70">
        <f t="shared" ref="O39:U39" si="26">O40</f>
        <v>124</v>
      </c>
      <c r="P39" s="55">
        <f t="shared" si="26"/>
        <v>2357</v>
      </c>
      <c r="Q39" s="70">
        <f t="shared" si="26"/>
        <v>0</v>
      </c>
      <c r="R39" s="70">
        <f t="shared" si="26"/>
        <v>0</v>
      </c>
      <c r="S39" s="70">
        <f t="shared" si="26"/>
        <v>0</v>
      </c>
      <c r="T39" s="76">
        <f t="shared" si="26"/>
        <v>73.599999999999994</v>
      </c>
      <c r="U39" s="57">
        <f t="shared" si="26"/>
        <v>0</v>
      </c>
      <c r="V39" s="57">
        <f t="shared" ref="V39:Y39" si="27">V40</f>
        <v>0</v>
      </c>
      <c r="W39" s="57">
        <f t="shared" si="27"/>
        <v>0</v>
      </c>
      <c r="X39" s="57">
        <f t="shared" si="27"/>
        <v>1398.1</v>
      </c>
      <c r="Y39" s="106">
        <f t="shared" si="27"/>
        <v>1471.6999999999998</v>
      </c>
      <c r="Z39" s="46"/>
      <c r="AA39" s="81"/>
    </row>
    <row r="40" spans="1:27" ht="42" customHeight="1">
      <c r="A40" s="56"/>
      <c r="B40" s="57" t="s">
        <v>56</v>
      </c>
      <c r="C40" s="58">
        <v>902</v>
      </c>
      <c r="D40" s="58" t="s">
        <v>48</v>
      </c>
      <c r="E40" s="58" t="s">
        <v>23</v>
      </c>
      <c r="F40" s="58" t="s">
        <v>69</v>
      </c>
      <c r="G40" s="59">
        <v>600</v>
      </c>
      <c r="H40" s="55">
        <v>116</v>
      </c>
      <c r="I40" s="55">
        <v>2204.1999999999998</v>
      </c>
      <c r="J40" s="73">
        <v>82</v>
      </c>
      <c r="K40" s="70">
        <v>1558.4</v>
      </c>
      <c r="L40" s="70"/>
      <c r="M40" s="70"/>
      <c r="N40" s="70"/>
      <c r="O40" s="70">
        <f>62+62</f>
        <v>124</v>
      </c>
      <c r="P40" s="55">
        <f>1178.5+1178.5</f>
        <v>2357</v>
      </c>
      <c r="Q40" s="73"/>
      <c r="R40" s="73"/>
      <c r="S40" s="73"/>
      <c r="T40" s="77">
        <v>73.599999999999994</v>
      </c>
      <c r="U40" s="57"/>
      <c r="V40" s="57"/>
      <c r="W40" s="57"/>
      <c r="X40" s="57">
        <v>1398.1</v>
      </c>
      <c r="Y40" s="106">
        <f>T40+U40+V40+W40+X40</f>
        <v>1471.6999999999998</v>
      </c>
      <c r="Z40" s="46"/>
      <c r="AA40" s="81"/>
    </row>
    <row r="41" spans="1:27">
      <c r="A41" s="56" t="s">
        <v>21</v>
      </c>
      <c r="B41" s="64" t="s">
        <v>70</v>
      </c>
      <c r="C41" s="58">
        <v>902</v>
      </c>
      <c r="D41" s="58" t="s">
        <v>48</v>
      </c>
      <c r="E41" s="58" t="s">
        <v>23</v>
      </c>
      <c r="F41" s="58" t="s">
        <v>71</v>
      </c>
      <c r="G41" s="59"/>
      <c r="H41" s="55">
        <f>H42</f>
        <v>20</v>
      </c>
      <c r="I41" s="55">
        <f>I42</f>
        <v>0</v>
      </c>
      <c r="J41" s="73">
        <f>J42</f>
        <v>20</v>
      </c>
      <c r="K41" s="55">
        <f>K42</f>
        <v>0</v>
      </c>
      <c r="L41" s="55"/>
      <c r="M41" s="55"/>
      <c r="N41" s="55"/>
      <c r="O41" s="70">
        <f t="shared" ref="O41:U41" si="28">O42</f>
        <v>20</v>
      </c>
      <c r="P41" s="55">
        <f t="shared" si="28"/>
        <v>0</v>
      </c>
      <c r="Q41" s="70">
        <f t="shared" si="28"/>
        <v>0</v>
      </c>
      <c r="R41" s="70">
        <f t="shared" si="28"/>
        <v>0</v>
      </c>
      <c r="S41" s="70">
        <f t="shared" si="28"/>
        <v>0</v>
      </c>
      <c r="T41" s="76">
        <f t="shared" si="28"/>
        <v>50</v>
      </c>
      <c r="U41" s="55">
        <f t="shared" si="28"/>
        <v>0</v>
      </c>
      <c r="V41" s="57">
        <f t="shared" ref="V41:Y41" si="29">V42</f>
        <v>0</v>
      </c>
      <c r="W41" s="57">
        <f t="shared" si="29"/>
        <v>0</v>
      </c>
      <c r="X41" s="57">
        <f t="shared" si="29"/>
        <v>0</v>
      </c>
      <c r="Y41" s="106">
        <f t="shared" si="29"/>
        <v>50</v>
      </c>
      <c r="Z41" s="46"/>
      <c r="AA41" s="81"/>
    </row>
    <row r="42" spans="1:27" ht="43.5" customHeight="1">
      <c r="A42" s="56" t="s">
        <v>21</v>
      </c>
      <c r="B42" s="57" t="s">
        <v>56</v>
      </c>
      <c r="C42" s="58">
        <v>902</v>
      </c>
      <c r="D42" s="58" t="s">
        <v>48</v>
      </c>
      <c r="E42" s="58" t="s">
        <v>23</v>
      </c>
      <c r="F42" s="58" t="s">
        <v>71</v>
      </c>
      <c r="G42" s="59">
        <v>600</v>
      </c>
      <c r="H42" s="55">
        <v>20</v>
      </c>
      <c r="I42" s="55"/>
      <c r="J42" s="73">
        <v>20</v>
      </c>
      <c r="K42" s="70"/>
      <c r="L42" s="70"/>
      <c r="M42" s="70"/>
      <c r="N42" s="70"/>
      <c r="O42" s="70">
        <v>20</v>
      </c>
      <c r="P42" s="55"/>
      <c r="Q42" s="73"/>
      <c r="R42" s="73"/>
      <c r="S42" s="73"/>
      <c r="T42" s="77">
        <v>50</v>
      </c>
      <c r="U42" s="55">
        <v>0</v>
      </c>
      <c r="V42" s="57"/>
      <c r="W42" s="57"/>
      <c r="X42" s="57"/>
      <c r="Y42" s="106">
        <f>T42+U42+V42+W42+X42</f>
        <v>50</v>
      </c>
      <c r="Z42" s="46"/>
      <c r="AA42" s="81"/>
    </row>
    <row r="43" spans="1:27" ht="60" customHeight="1">
      <c r="A43" s="56"/>
      <c r="B43" s="57" t="s">
        <v>72</v>
      </c>
      <c r="C43" s="58">
        <v>902</v>
      </c>
      <c r="D43" s="58" t="s">
        <v>48</v>
      </c>
      <c r="E43" s="58" t="s">
        <v>23</v>
      </c>
      <c r="F43" s="58" t="s">
        <v>73</v>
      </c>
      <c r="G43" s="59"/>
      <c r="H43" s="55">
        <f t="shared" ref="H43:K44" si="30">H44</f>
        <v>0</v>
      </c>
      <c r="I43" s="55">
        <f t="shared" si="30"/>
        <v>526.20000000000005</v>
      </c>
      <c r="J43" s="73">
        <f t="shared" si="30"/>
        <v>0</v>
      </c>
      <c r="K43" s="55">
        <f t="shared" si="30"/>
        <v>547.9</v>
      </c>
      <c r="L43" s="55"/>
      <c r="M43" s="55"/>
      <c r="N43" s="55"/>
      <c r="O43" s="70">
        <f t="shared" ref="O43:T44" si="31">O44</f>
        <v>0</v>
      </c>
      <c r="P43" s="55">
        <f t="shared" si="31"/>
        <v>626.9</v>
      </c>
      <c r="Q43" s="70">
        <f t="shared" si="31"/>
        <v>0</v>
      </c>
      <c r="R43" s="70">
        <f t="shared" si="31"/>
        <v>0</v>
      </c>
      <c r="S43" s="70">
        <f t="shared" si="31"/>
        <v>0</v>
      </c>
      <c r="T43" s="76">
        <f t="shared" si="31"/>
        <v>0</v>
      </c>
      <c r="U43" s="57">
        <f>U44</f>
        <v>0</v>
      </c>
      <c r="V43" s="57">
        <f t="shared" ref="V43:Y44" si="32">V44</f>
        <v>0</v>
      </c>
      <c r="W43" s="57">
        <f t="shared" si="32"/>
        <v>0</v>
      </c>
      <c r="X43" s="57">
        <f t="shared" si="32"/>
        <v>1004.4</v>
      </c>
      <c r="Y43" s="106">
        <f t="shared" si="32"/>
        <v>467.625</v>
      </c>
      <c r="Z43" s="46"/>
      <c r="AA43" s="81"/>
    </row>
    <row r="44" spans="1:27" ht="23.25" customHeight="1">
      <c r="A44" s="56" t="s">
        <v>21</v>
      </c>
      <c r="B44" s="57" t="s">
        <v>74</v>
      </c>
      <c r="C44" s="58">
        <v>902</v>
      </c>
      <c r="D44" s="58" t="s">
        <v>48</v>
      </c>
      <c r="E44" s="58" t="s">
        <v>23</v>
      </c>
      <c r="F44" s="58" t="s">
        <v>75</v>
      </c>
      <c r="G44" s="59"/>
      <c r="H44" s="55">
        <f t="shared" si="30"/>
        <v>0</v>
      </c>
      <c r="I44" s="55">
        <f t="shared" si="30"/>
        <v>526.20000000000005</v>
      </c>
      <c r="J44" s="73">
        <f t="shared" si="30"/>
        <v>0</v>
      </c>
      <c r="K44" s="55">
        <f t="shared" si="30"/>
        <v>547.9</v>
      </c>
      <c r="L44" s="55"/>
      <c r="M44" s="55"/>
      <c r="N44" s="55"/>
      <c r="O44" s="70">
        <f t="shared" si="31"/>
        <v>0</v>
      </c>
      <c r="P44" s="55">
        <f t="shared" si="31"/>
        <v>626.9</v>
      </c>
      <c r="Q44" s="70">
        <f t="shared" si="31"/>
        <v>0</v>
      </c>
      <c r="R44" s="70">
        <f t="shared" si="31"/>
        <v>0</v>
      </c>
      <c r="S44" s="70">
        <f t="shared" si="31"/>
        <v>0</v>
      </c>
      <c r="T44" s="76">
        <f t="shared" si="31"/>
        <v>0</v>
      </c>
      <c r="U44" s="57">
        <f>U45</f>
        <v>0</v>
      </c>
      <c r="V44" s="57">
        <f t="shared" si="32"/>
        <v>0</v>
      </c>
      <c r="W44" s="57">
        <f t="shared" si="32"/>
        <v>0</v>
      </c>
      <c r="X44" s="57">
        <f t="shared" si="32"/>
        <v>1004.4</v>
      </c>
      <c r="Y44" s="106">
        <f t="shared" si="32"/>
        <v>467.625</v>
      </c>
      <c r="Z44" s="46"/>
      <c r="AA44" s="81"/>
    </row>
    <row r="45" spans="1:27" ht="38.1" customHeight="1">
      <c r="A45" s="56" t="s">
        <v>21</v>
      </c>
      <c r="B45" s="57" t="s">
        <v>56</v>
      </c>
      <c r="C45" s="58">
        <v>902</v>
      </c>
      <c r="D45" s="58" t="s">
        <v>48</v>
      </c>
      <c r="E45" s="58" t="s">
        <v>23</v>
      </c>
      <c r="F45" s="58" t="s">
        <v>75</v>
      </c>
      <c r="G45" s="59">
        <v>600</v>
      </c>
      <c r="H45" s="55"/>
      <c r="I45" s="55">
        <v>526.20000000000005</v>
      </c>
      <c r="J45" s="73"/>
      <c r="K45" s="70">
        <v>547.9</v>
      </c>
      <c r="L45" s="70"/>
      <c r="M45" s="70"/>
      <c r="N45" s="70"/>
      <c r="O45" s="70"/>
      <c r="P45" s="55">
        <v>626.9</v>
      </c>
      <c r="Q45" s="73"/>
      <c r="R45" s="73"/>
      <c r="S45" s="73"/>
      <c r="T45" s="77"/>
      <c r="U45" s="57">
        <v>0</v>
      </c>
      <c r="V45" s="57"/>
      <c r="W45" s="57"/>
      <c r="X45" s="57">
        <v>1004.4</v>
      </c>
      <c r="Y45" s="106">
        <v>467.625</v>
      </c>
      <c r="Z45" s="46"/>
      <c r="AA45" s="81"/>
    </row>
    <row r="46" spans="1:27" ht="21.75" customHeight="1">
      <c r="A46" s="56"/>
      <c r="B46" s="57" t="s">
        <v>76</v>
      </c>
      <c r="C46" s="58">
        <v>902</v>
      </c>
      <c r="D46" s="58" t="s">
        <v>48</v>
      </c>
      <c r="E46" s="58" t="s">
        <v>23</v>
      </c>
      <c r="F46" s="58" t="s">
        <v>77</v>
      </c>
      <c r="G46" s="59"/>
      <c r="H46" s="55">
        <f>H48</f>
        <v>0</v>
      </c>
      <c r="I46" s="55">
        <f>I48</f>
        <v>0</v>
      </c>
      <c r="J46" s="73">
        <f>J48+J47</f>
        <v>0</v>
      </c>
      <c r="K46" s="55">
        <f>K48+K47</f>
        <v>0</v>
      </c>
      <c r="L46" s="55"/>
      <c r="M46" s="55"/>
      <c r="N46" s="55"/>
      <c r="O46" s="70">
        <f t="shared" ref="O46:T46" si="33">O48+O47</f>
        <v>0</v>
      </c>
      <c r="P46" s="55">
        <f t="shared" si="33"/>
        <v>0</v>
      </c>
      <c r="Q46" s="70">
        <f t="shared" si="33"/>
        <v>0</v>
      </c>
      <c r="R46" s="70">
        <f t="shared" si="33"/>
        <v>0</v>
      </c>
      <c r="S46" s="70">
        <f t="shared" si="33"/>
        <v>0</v>
      </c>
      <c r="T46" s="76">
        <f t="shared" si="33"/>
        <v>0</v>
      </c>
      <c r="U46" s="57"/>
      <c r="V46" s="57"/>
      <c r="W46" s="57"/>
      <c r="X46" s="57"/>
      <c r="Y46" s="106">
        <f>Y47</f>
        <v>10.157999999999999</v>
      </c>
      <c r="Z46" s="46"/>
      <c r="AA46" s="81"/>
    </row>
    <row r="47" spans="1:27" ht="40.5" customHeight="1">
      <c r="A47" s="56"/>
      <c r="B47" s="57" t="s">
        <v>56</v>
      </c>
      <c r="C47" s="58">
        <v>902</v>
      </c>
      <c r="D47" s="58" t="s">
        <v>48</v>
      </c>
      <c r="E47" s="58" t="s">
        <v>23</v>
      </c>
      <c r="F47" s="58" t="s">
        <v>77</v>
      </c>
      <c r="G47" s="59">
        <v>600</v>
      </c>
      <c r="H47" s="55"/>
      <c r="I47" s="55">
        <v>4500</v>
      </c>
      <c r="J47" s="73"/>
      <c r="K47" s="55">
        <v>0</v>
      </c>
      <c r="L47" s="55"/>
      <c r="M47" s="55"/>
      <c r="N47" s="55"/>
      <c r="O47" s="70"/>
      <c r="P47" s="55"/>
      <c r="Q47" s="73"/>
      <c r="R47" s="55">
        <v>0</v>
      </c>
      <c r="S47" s="55">
        <v>0</v>
      </c>
      <c r="T47" s="77">
        <f>O47+P47+Q47+R47+S47</f>
        <v>0</v>
      </c>
      <c r="U47" s="57"/>
      <c r="V47" s="57"/>
      <c r="W47" s="57"/>
      <c r="X47" s="57"/>
      <c r="Y47" s="106">
        <v>10.157999999999999</v>
      </c>
      <c r="Z47" s="46"/>
      <c r="AA47" s="81"/>
    </row>
    <row r="48" spans="1:27" ht="43.5" hidden="1" customHeight="1">
      <c r="A48" s="56"/>
      <c r="B48" s="57" t="s">
        <v>78</v>
      </c>
      <c r="C48" s="58">
        <v>902</v>
      </c>
      <c r="D48" s="58" t="s">
        <v>48</v>
      </c>
      <c r="E48" s="58" t="s">
        <v>23</v>
      </c>
      <c r="F48" s="58" t="s">
        <v>79</v>
      </c>
      <c r="G48" s="59"/>
      <c r="H48" s="55">
        <f>H49</f>
        <v>0</v>
      </c>
      <c r="I48" s="55">
        <f>I49</f>
        <v>0</v>
      </c>
      <c r="J48" s="73">
        <f>J49</f>
        <v>0</v>
      </c>
      <c r="K48" s="55">
        <f>K49</f>
        <v>0</v>
      </c>
      <c r="L48" s="55"/>
      <c r="M48" s="55"/>
      <c r="N48" s="55"/>
      <c r="O48" s="70">
        <f>J48+K48+M48+N48</f>
        <v>0</v>
      </c>
      <c r="P48" s="55">
        <f>K48+L48+N48+O48</f>
        <v>0</v>
      </c>
      <c r="Q48" s="70">
        <f>L48+M48+O48+P48</f>
        <v>0</v>
      </c>
      <c r="R48" s="70">
        <f>M48+N48+P48+Q48</f>
        <v>0</v>
      </c>
      <c r="S48" s="70">
        <f>N48+O48+Q48+R48</f>
        <v>0</v>
      </c>
      <c r="T48" s="76">
        <f t="shared" ref="T48" si="34">O48+P48+R48+S48</f>
        <v>0</v>
      </c>
      <c r="U48" s="57"/>
      <c r="V48" s="57"/>
      <c r="W48" s="57"/>
      <c r="X48" s="57"/>
      <c r="Y48" s="106"/>
      <c r="Z48" s="46"/>
      <c r="AA48" s="81"/>
    </row>
    <row r="49" spans="1:27" ht="42" hidden="1" customHeight="1">
      <c r="A49" s="56"/>
      <c r="B49" s="57" t="s">
        <v>56</v>
      </c>
      <c r="C49" s="58">
        <v>902</v>
      </c>
      <c r="D49" s="58" t="s">
        <v>48</v>
      </c>
      <c r="E49" s="58" t="s">
        <v>23</v>
      </c>
      <c r="F49" s="58" t="s">
        <v>79</v>
      </c>
      <c r="G49" s="59">
        <v>600</v>
      </c>
      <c r="H49" s="55"/>
      <c r="I49" s="55">
        <v>0</v>
      </c>
      <c r="J49" s="73">
        <f>H49+I49</f>
        <v>0</v>
      </c>
      <c r="K49" s="70"/>
      <c r="L49" s="70"/>
      <c r="M49" s="70"/>
      <c r="N49" s="70"/>
      <c r="O49" s="70">
        <f>J49+K49+M49+N49</f>
        <v>0</v>
      </c>
      <c r="P49" s="55"/>
      <c r="Q49" s="73"/>
      <c r="R49" s="73"/>
      <c r="S49" s="73"/>
      <c r="T49" s="77">
        <f>O49+P49+Q49+R49+S49</f>
        <v>0</v>
      </c>
      <c r="U49" s="57"/>
      <c r="V49" s="57"/>
      <c r="W49" s="57"/>
      <c r="X49" s="57"/>
      <c r="Y49" s="106"/>
      <c r="Z49" s="46"/>
      <c r="AA49" s="81"/>
    </row>
    <row r="50" spans="1:27" ht="40.5" customHeight="1">
      <c r="A50" s="56"/>
      <c r="B50" s="57" t="s">
        <v>80</v>
      </c>
      <c r="C50" s="58">
        <v>902</v>
      </c>
      <c r="D50" s="58" t="s">
        <v>48</v>
      </c>
      <c r="E50" s="58" t="s">
        <v>23</v>
      </c>
      <c r="F50" s="58" t="s">
        <v>81</v>
      </c>
      <c r="G50" s="59"/>
      <c r="H50" s="55"/>
      <c r="I50" s="55"/>
      <c r="J50" s="73"/>
      <c r="K50" s="70"/>
      <c r="L50" s="70"/>
      <c r="M50" s="70"/>
      <c r="N50" s="70"/>
      <c r="O50" s="70">
        <f t="shared" ref="O50:Y50" si="35">O51</f>
        <v>0</v>
      </c>
      <c r="P50" s="55">
        <f t="shared" si="35"/>
        <v>0</v>
      </c>
      <c r="Q50" s="55">
        <f t="shared" si="35"/>
        <v>0</v>
      </c>
      <c r="R50" s="55">
        <f t="shared" si="35"/>
        <v>0</v>
      </c>
      <c r="S50" s="55">
        <f t="shared" si="35"/>
        <v>0</v>
      </c>
      <c r="T50" s="77">
        <f t="shared" si="35"/>
        <v>50</v>
      </c>
      <c r="U50" s="55">
        <f t="shared" si="35"/>
        <v>0</v>
      </c>
      <c r="V50" s="57">
        <f t="shared" si="35"/>
        <v>0</v>
      </c>
      <c r="W50" s="57">
        <f t="shared" si="35"/>
        <v>0</v>
      </c>
      <c r="X50" s="57">
        <f t="shared" si="35"/>
        <v>0</v>
      </c>
      <c r="Y50" s="106">
        <f t="shared" si="35"/>
        <v>50</v>
      </c>
      <c r="Z50" s="46"/>
      <c r="AA50" s="81"/>
    </row>
    <row r="51" spans="1:27" ht="39" customHeight="1">
      <c r="A51" s="56"/>
      <c r="B51" s="57" t="s">
        <v>56</v>
      </c>
      <c r="C51" s="58">
        <v>902</v>
      </c>
      <c r="D51" s="58" t="s">
        <v>48</v>
      </c>
      <c r="E51" s="58" t="s">
        <v>23</v>
      </c>
      <c r="F51" s="58" t="s">
        <v>81</v>
      </c>
      <c r="G51" s="59">
        <v>600</v>
      </c>
      <c r="H51" s="55"/>
      <c r="I51" s="55"/>
      <c r="J51" s="73"/>
      <c r="K51" s="70"/>
      <c r="L51" s="70"/>
      <c r="M51" s="70"/>
      <c r="N51" s="70"/>
      <c r="O51" s="70"/>
      <c r="P51" s="55">
        <v>0</v>
      </c>
      <c r="Q51" s="55">
        <v>0</v>
      </c>
      <c r="R51" s="73"/>
      <c r="S51" s="73"/>
      <c r="T51" s="77">
        <v>50</v>
      </c>
      <c r="U51" s="55">
        <v>0</v>
      </c>
      <c r="V51" s="57"/>
      <c r="W51" s="57"/>
      <c r="X51" s="57"/>
      <c r="Y51" s="106">
        <f>T51+U51+V51+W51+X51</f>
        <v>50</v>
      </c>
      <c r="Z51" s="46"/>
      <c r="AA51" s="81"/>
    </row>
    <row r="52" spans="1:27" ht="41.25" hidden="1" customHeight="1">
      <c r="A52" s="56"/>
      <c r="B52" s="57"/>
      <c r="C52" s="58">
        <v>902</v>
      </c>
      <c r="D52" s="58" t="s">
        <v>48</v>
      </c>
      <c r="E52" s="58" t="s">
        <v>23</v>
      </c>
      <c r="F52" s="58" t="s">
        <v>82</v>
      </c>
      <c r="G52" s="59"/>
      <c r="H52" s="55"/>
      <c r="I52" s="55"/>
      <c r="J52" s="73"/>
      <c r="K52" s="70"/>
      <c r="L52" s="70"/>
      <c r="M52" s="70"/>
      <c r="N52" s="70"/>
      <c r="O52" s="70"/>
      <c r="P52" s="55"/>
      <c r="Q52" s="73"/>
      <c r="R52" s="73"/>
      <c r="S52" s="73"/>
      <c r="T52" s="77">
        <f t="shared" ref="T52:Y52" si="36">T53</f>
        <v>0</v>
      </c>
      <c r="U52" s="57">
        <f t="shared" si="36"/>
        <v>0</v>
      </c>
      <c r="V52" s="57">
        <f t="shared" si="36"/>
        <v>0</v>
      </c>
      <c r="W52" s="57">
        <f t="shared" si="36"/>
        <v>0</v>
      </c>
      <c r="X52" s="77">
        <f t="shared" si="36"/>
        <v>0</v>
      </c>
      <c r="Y52" s="107">
        <f t="shared" si="36"/>
        <v>0</v>
      </c>
      <c r="Z52" s="46"/>
      <c r="AA52" s="81"/>
    </row>
    <row r="53" spans="1:27" ht="24.75" hidden="1" customHeight="1">
      <c r="A53" s="56"/>
      <c r="B53" s="57" t="s">
        <v>83</v>
      </c>
      <c r="C53" s="58">
        <v>902</v>
      </c>
      <c r="D53" s="58" t="s">
        <v>48</v>
      </c>
      <c r="E53" s="58" t="s">
        <v>23</v>
      </c>
      <c r="F53" s="58" t="s">
        <v>84</v>
      </c>
      <c r="G53" s="59"/>
      <c r="H53" s="55"/>
      <c r="I53" s="55"/>
      <c r="J53" s="73"/>
      <c r="K53" s="70">
        <f>K54</f>
        <v>9150</v>
      </c>
      <c r="L53" s="70"/>
      <c r="M53" s="70"/>
      <c r="N53" s="70"/>
      <c r="O53" s="70">
        <f t="shared" ref="O53:Y53" si="37">O54</f>
        <v>0</v>
      </c>
      <c r="P53" s="55">
        <f t="shared" si="37"/>
        <v>0</v>
      </c>
      <c r="Q53" s="70">
        <f t="shared" si="37"/>
        <v>0</v>
      </c>
      <c r="R53" s="70">
        <f t="shared" si="37"/>
        <v>0</v>
      </c>
      <c r="S53" s="70">
        <f t="shared" si="37"/>
        <v>0</v>
      </c>
      <c r="T53" s="76">
        <f t="shared" si="37"/>
        <v>0</v>
      </c>
      <c r="U53" s="57">
        <f t="shared" si="37"/>
        <v>0</v>
      </c>
      <c r="V53" s="57">
        <f t="shared" si="37"/>
        <v>0</v>
      </c>
      <c r="W53" s="57">
        <f t="shared" si="37"/>
        <v>0</v>
      </c>
      <c r="X53" s="76">
        <f t="shared" si="37"/>
        <v>0</v>
      </c>
      <c r="Y53" s="106">
        <f t="shared" si="37"/>
        <v>0</v>
      </c>
      <c r="Z53" s="46"/>
      <c r="AA53" s="81"/>
    </row>
    <row r="54" spans="1:27" ht="40.5" hidden="1" customHeight="1">
      <c r="A54" s="56"/>
      <c r="B54" s="57" t="s">
        <v>56</v>
      </c>
      <c r="C54" s="58">
        <v>902</v>
      </c>
      <c r="D54" s="58" t="s">
        <v>48</v>
      </c>
      <c r="E54" s="58" t="s">
        <v>23</v>
      </c>
      <c r="F54" s="58" t="s">
        <v>84</v>
      </c>
      <c r="G54" s="59">
        <v>600</v>
      </c>
      <c r="H54" s="55"/>
      <c r="I54" s="55"/>
      <c r="J54" s="73"/>
      <c r="K54" s="70">
        <v>9150</v>
      </c>
      <c r="L54" s="70"/>
      <c r="M54" s="70"/>
      <c r="N54" s="70"/>
      <c r="O54" s="70"/>
      <c r="P54" s="55">
        <v>0</v>
      </c>
      <c r="Q54" s="55">
        <v>0</v>
      </c>
      <c r="R54" s="73"/>
      <c r="S54" s="73"/>
      <c r="T54" s="77">
        <f>O54+P54+Q54+R54+S54</f>
        <v>0</v>
      </c>
      <c r="U54" s="57"/>
      <c r="V54" s="57"/>
      <c r="W54" s="57"/>
      <c r="X54" s="57"/>
      <c r="Y54" s="106"/>
      <c r="Z54" s="46"/>
      <c r="AA54" s="81"/>
    </row>
    <row r="55" spans="1:27" ht="40.5" hidden="1" customHeight="1">
      <c r="A55" s="56"/>
      <c r="B55" s="57" t="s">
        <v>85</v>
      </c>
      <c r="C55" s="58">
        <v>902</v>
      </c>
      <c r="D55" s="58" t="s">
        <v>48</v>
      </c>
      <c r="E55" s="58" t="s">
        <v>23</v>
      </c>
      <c r="F55" s="58" t="s">
        <v>86</v>
      </c>
      <c r="G55" s="59"/>
      <c r="H55" s="55"/>
      <c r="I55" s="55"/>
      <c r="J55" s="73"/>
      <c r="K55" s="70"/>
      <c r="L55" s="70"/>
      <c r="M55" s="70"/>
      <c r="N55" s="70"/>
      <c r="O55" s="70"/>
      <c r="P55" s="55"/>
      <c r="Q55" s="55"/>
      <c r="R55" s="73"/>
      <c r="S55" s="73"/>
      <c r="T55" s="77">
        <f t="shared" ref="T55:Y55" si="38">T56+T58</f>
        <v>0</v>
      </c>
      <c r="U55" s="55">
        <f t="shared" si="38"/>
        <v>0</v>
      </c>
      <c r="V55" s="57">
        <f t="shared" si="38"/>
        <v>0</v>
      </c>
      <c r="W55" s="57">
        <f t="shared" si="38"/>
        <v>0</v>
      </c>
      <c r="X55" s="77">
        <f t="shared" si="38"/>
        <v>0</v>
      </c>
      <c r="Y55" s="107">
        <f t="shared" si="38"/>
        <v>0</v>
      </c>
      <c r="Z55" s="46"/>
      <c r="AA55" s="81"/>
    </row>
    <row r="56" spans="1:27" ht="42" hidden="1" customHeight="1">
      <c r="A56" s="56"/>
      <c r="B56" s="57" t="s">
        <v>87</v>
      </c>
      <c r="C56" s="58">
        <v>902</v>
      </c>
      <c r="D56" s="58" t="s">
        <v>48</v>
      </c>
      <c r="E56" s="58" t="s">
        <v>23</v>
      </c>
      <c r="F56" s="58" t="s">
        <v>88</v>
      </c>
      <c r="G56" s="59"/>
      <c r="H56" s="55"/>
      <c r="I56" s="55"/>
      <c r="J56" s="73">
        <f>J57</f>
        <v>0</v>
      </c>
      <c r="K56" s="55">
        <f>K57</f>
        <v>0</v>
      </c>
      <c r="L56" s="55"/>
      <c r="M56" s="55"/>
      <c r="N56" s="55"/>
      <c r="O56" s="70">
        <f t="shared" ref="O56:U56" si="39">O57</f>
        <v>0.6</v>
      </c>
      <c r="P56" s="55">
        <f t="shared" si="39"/>
        <v>50.6</v>
      </c>
      <c r="Q56" s="70">
        <f t="shared" si="39"/>
        <v>0</v>
      </c>
      <c r="R56" s="70">
        <f t="shared" si="39"/>
        <v>0</v>
      </c>
      <c r="S56" s="70">
        <f t="shared" si="39"/>
        <v>0</v>
      </c>
      <c r="T56" s="76">
        <f t="shared" si="39"/>
        <v>0</v>
      </c>
      <c r="U56" s="57">
        <f t="shared" si="39"/>
        <v>0</v>
      </c>
      <c r="V56" s="57">
        <f t="shared" ref="V56:Y56" si="40">V57</f>
        <v>0</v>
      </c>
      <c r="W56" s="57">
        <f t="shared" si="40"/>
        <v>0</v>
      </c>
      <c r="X56" s="57">
        <f t="shared" si="40"/>
        <v>0</v>
      </c>
      <c r="Y56" s="106">
        <f t="shared" si="40"/>
        <v>0</v>
      </c>
      <c r="Z56" s="46"/>
      <c r="AA56" s="81"/>
    </row>
    <row r="57" spans="1:27" ht="41.25" hidden="1" customHeight="1">
      <c r="A57" s="56"/>
      <c r="B57" s="57" t="s">
        <v>56</v>
      </c>
      <c r="C57" s="58">
        <v>902</v>
      </c>
      <c r="D57" s="58" t="s">
        <v>48</v>
      </c>
      <c r="E57" s="58" t="s">
        <v>23</v>
      </c>
      <c r="F57" s="58" t="s">
        <v>88</v>
      </c>
      <c r="G57" s="59">
        <v>600</v>
      </c>
      <c r="H57" s="55"/>
      <c r="I57" s="55"/>
      <c r="J57" s="73"/>
      <c r="K57" s="70"/>
      <c r="L57" s="70"/>
      <c r="M57" s="70"/>
      <c r="N57" s="70"/>
      <c r="O57" s="70">
        <v>0.6</v>
      </c>
      <c r="P57" s="55">
        <v>50.6</v>
      </c>
      <c r="Q57" s="73"/>
      <c r="R57" s="73"/>
      <c r="S57" s="73"/>
      <c r="T57" s="77"/>
      <c r="U57" s="57"/>
      <c r="V57" s="57"/>
      <c r="W57" s="57"/>
      <c r="X57" s="57"/>
      <c r="Y57" s="106">
        <f>T57+U57+V57+W57+X57</f>
        <v>0</v>
      </c>
      <c r="Z57" s="46"/>
      <c r="AA57" s="81"/>
    </row>
    <row r="58" spans="1:27" ht="42" hidden="1" customHeight="1">
      <c r="A58" s="56"/>
      <c r="B58" s="57" t="s">
        <v>89</v>
      </c>
      <c r="C58" s="58">
        <v>902</v>
      </c>
      <c r="D58" s="58" t="s">
        <v>48</v>
      </c>
      <c r="E58" s="58" t="s">
        <v>23</v>
      </c>
      <c r="F58" s="58" t="s">
        <v>90</v>
      </c>
      <c r="G58" s="59"/>
      <c r="H58" s="55"/>
      <c r="I58" s="55"/>
      <c r="J58" s="73"/>
      <c r="K58" s="70"/>
      <c r="L58" s="70"/>
      <c r="M58" s="70"/>
      <c r="N58" s="70"/>
      <c r="O58" s="70">
        <f>O59</f>
        <v>1.1000000000000001</v>
      </c>
      <c r="P58" s="55">
        <f>P59</f>
        <v>101.1</v>
      </c>
      <c r="Q58" s="55"/>
      <c r="R58" s="73"/>
      <c r="S58" s="73"/>
      <c r="T58" s="77">
        <f>T59</f>
        <v>0</v>
      </c>
      <c r="U58" s="57">
        <f>U59</f>
        <v>0</v>
      </c>
      <c r="V58" s="57">
        <f t="shared" ref="V58:Y58" si="41">V59</f>
        <v>0</v>
      </c>
      <c r="W58" s="57">
        <f t="shared" si="41"/>
        <v>0</v>
      </c>
      <c r="X58" s="57">
        <f t="shared" si="41"/>
        <v>0</v>
      </c>
      <c r="Y58" s="106">
        <f t="shared" si="41"/>
        <v>0</v>
      </c>
      <c r="Z58" s="46"/>
      <c r="AA58" s="81"/>
    </row>
    <row r="59" spans="1:27" ht="41.25" hidden="1" customHeight="1">
      <c r="A59" s="56"/>
      <c r="B59" s="57" t="s">
        <v>56</v>
      </c>
      <c r="C59" s="58">
        <v>902</v>
      </c>
      <c r="D59" s="58" t="s">
        <v>48</v>
      </c>
      <c r="E59" s="58" t="s">
        <v>23</v>
      </c>
      <c r="F59" s="58" t="s">
        <v>90</v>
      </c>
      <c r="G59" s="59">
        <v>600</v>
      </c>
      <c r="H59" s="55"/>
      <c r="I59" s="55"/>
      <c r="J59" s="73"/>
      <c r="K59" s="70"/>
      <c r="L59" s="70"/>
      <c r="M59" s="70"/>
      <c r="N59" s="70"/>
      <c r="O59" s="70">
        <v>1.1000000000000001</v>
      </c>
      <c r="P59" s="55">
        <v>101.1</v>
      </c>
      <c r="Q59" s="55"/>
      <c r="R59" s="73"/>
      <c r="S59" s="73"/>
      <c r="T59" s="77"/>
      <c r="U59" s="57"/>
      <c r="V59" s="57"/>
      <c r="W59" s="57"/>
      <c r="X59" s="57"/>
      <c r="Y59" s="106">
        <f>T59+U59+V59+W59+X59</f>
        <v>0</v>
      </c>
      <c r="Z59" s="46"/>
      <c r="AA59" s="81"/>
    </row>
    <row r="60" spans="1:27" ht="21.95" customHeight="1">
      <c r="A60" s="56"/>
      <c r="B60" s="62" t="s">
        <v>91</v>
      </c>
      <c r="C60" s="58">
        <v>902</v>
      </c>
      <c r="D60" s="58" t="s">
        <v>48</v>
      </c>
      <c r="E60" s="58" t="s">
        <v>23</v>
      </c>
      <c r="F60" s="58" t="s">
        <v>92</v>
      </c>
      <c r="G60" s="59" t="s">
        <v>21</v>
      </c>
      <c r="H60" s="55">
        <f>H61+H65+H70+H73</f>
        <v>1242.5999999999999</v>
      </c>
      <c r="I60" s="55">
        <f>I61+I65+I70+I73</f>
        <v>229.2</v>
      </c>
      <c r="J60" s="73">
        <f>J61+J65+J70+J73+J77</f>
        <v>2239.46</v>
      </c>
      <c r="K60" s="55">
        <f>K61+K65+K70+K73+K77+K79</f>
        <v>553.5</v>
      </c>
      <c r="L60" s="55"/>
      <c r="M60" s="55"/>
      <c r="N60" s="55"/>
      <c r="O60" s="70">
        <f>O61+O65+O70+O73+O77+O79+O63+O82</f>
        <v>2654.7</v>
      </c>
      <c r="P60" s="70">
        <f t="shared" ref="P60:S60" si="42">P61+P65+P70+P73+P77+P79+P63+P82</f>
        <v>4004.2000000000003</v>
      </c>
      <c r="Q60" s="70">
        <f t="shared" si="42"/>
        <v>0</v>
      </c>
      <c r="R60" s="70">
        <f t="shared" si="42"/>
        <v>0</v>
      </c>
      <c r="S60" s="70">
        <f t="shared" si="42"/>
        <v>0</v>
      </c>
      <c r="T60" s="76">
        <f t="shared" ref="T60:X60" si="43">T61+T63+T65+T70+T73+T76</f>
        <v>4479.7</v>
      </c>
      <c r="U60" s="55">
        <f t="shared" si="43"/>
        <v>0</v>
      </c>
      <c r="V60" s="57">
        <f t="shared" si="43"/>
        <v>0</v>
      </c>
      <c r="W60" s="57">
        <f t="shared" si="43"/>
        <v>0</v>
      </c>
      <c r="X60" s="76">
        <f t="shared" si="43"/>
        <v>295.39999999999998</v>
      </c>
      <c r="Y60" s="106">
        <f>Y61+Y63+Y65+Y70+Y73+Y76+Y81</f>
        <v>7054.9911000000002</v>
      </c>
      <c r="Z60" s="46"/>
      <c r="AA60" s="81"/>
    </row>
    <row r="61" spans="1:27" ht="23.25" hidden="1" customHeight="1">
      <c r="A61" s="56"/>
      <c r="B61" s="57" t="s">
        <v>54</v>
      </c>
      <c r="C61" s="58">
        <v>902</v>
      </c>
      <c r="D61" s="58" t="s">
        <v>48</v>
      </c>
      <c r="E61" s="58" t="s">
        <v>23</v>
      </c>
      <c r="F61" s="58" t="s">
        <v>93</v>
      </c>
      <c r="G61" s="59" t="s">
        <v>21</v>
      </c>
      <c r="H61" s="55">
        <f>H62</f>
        <v>3.6</v>
      </c>
      <c r="I61" s="55">
        <f>I62</f>
        <v>0</v>
      </c>
      <c r="J61" s="73">
        <f>J62</f>
        <v>72.959999999999994</v>
      </c>
      <c r="K61" s="55">
        <f>K62</f>
        <v>0</v>
      </c>
      <c r="L61" s="55"/>
      <c r="M61" s="55"/>
      <c r="N61" s="55"/>
      <c r="O61" s="70">
        <f t="shared" ref="O61:T61" si="44">O62</f>
        <v>0</v>
      </c>
      <c r="P61" s="55">
        <f t="shared" si="44"/>
        <v>0</v>
      </c>
      <c r="Q61" s="70">
        <f t="shared" si="44"/>
        <v>0</v>
      </c>
      <c r="R61" s="70">
        <f t="shared" si="44"/>
        <v>0</v>
      </c>
      <c r="S61" s="70">
        <f t="shared" si="44"/>
        <v>0</v>
      </c>
      <c r="T61" s="76">
        <f t="shared" si="44"/>
        <v>0</v>
      </c>
      <c r="U61" s="57"/>
      <c r="V61" s="57"/>
      <c r="W61" s="57"/>
      <c r="X61" s="57"/>
      <c r="Y61" s="106"/>
      <c r="Z61" s="46"/>
      <c r="AA61" s="81"/>
    </row>
    <row r="62" spans="1:27" ht="37.5" hidden="1">
      <c r="A62" s="56"/>
      <c r="B62" s="62" t="s">
        <v>56</v>
      </c>
      <c r="C62" s="58">
        <v>902</v>
      </c>
      <c r="D62" s="58" t="s">
        <v>48</v>
      </c>
      <c r="E62" s="58" t="s">
        <v>23</v>
      </c>
      <c r="F62" s="58" t="s">
        <v>93</v>
      </c>
      <c r="G62" s="59">
        <v>600</v>
      </c>
      <c r="H62" s="55">
        <v>3.6</v>
      </c>
      <c r="I62" s="55"/>
      <c r="J62" s="73">
        <v>72.959999999999994</v>
      </c>
      <c r="K62" s="70"/>
      <c r="L62" s="70"/>
      <c r="M62" s="70"/>
      <c r="N62" s="70"/>
      <c r="O62" s="70"/>
      <c r="P62" s="55">
        <v>0</v>
      </c>
      <c r="Q62" s="55">
        <v>0</v>
      </c>
      <c r="R62" s="73"/>
      <c r="S62" s="73"/>
      <c r="T62" s="77">
        <f>O62+P62+Q62+R62+S62</f>
        <v>0</v>
      </c>
      <c r="U62" s="57"/>
      <c r="V62" s="57"/>
      <c r="W62" s="57"/>
      <c r="X62" s="57"/>
      <c r="Y62" s="106"/>
      <c r="Z62" s="46"/>
      <c r="AA62" s="81"/>
    </row>
    <row r="63" spans="1:27" ht="57.75" customHeight="1">
      <c r="A63" s="56"/>
      <c r="B63" s="62" t="s">
        <v>651</v>
      </c>
      <c r="C63" s="58">
        <v>902</v>
      </c>
      <c r="D63" s="58" t="s">
        <v>48</v>
      </c>
      <c r="E63" s="58" t="s">
        <v>23</v>
      </c>
      <c r="F63" s="58" t="s">
        <v>94</v>
      </c>
      <c r="G63" s="59" t="s">
        <v>21</v>
      </c>
      <c r="H63" s="55"/>
      <c r="I63" s="55"/>
      <c r="J63" s="73"/>
      <c r="K63" s="70"/>
      <c r="L63" s="70"/>
      <c r="M63" s="70"/>
      <c r="N63" s="70"/>
      <c r="O63" s="70">
        <f t="shared" ref="O63:Y63" si="45">O64</f>
        <v>0</v>
      </c>
      <c r="P63" s="55">
        <f t="shared" si="45"/>
        <v>0</v>
      </c>
      <c r="Q63" s="55">
        <v>0</v>
      </c>
      <c r="R63" s="55">
        <f t="shared" si="45"/>
        <v>0</v>
      </c>
      <c r="S63" s="55">
        <f t="shared" si="45"/>
        <v>0</v>
      </c>
      <c r="T63" s="77">
        <f t="shared" si="45"/>
        <v>0</v>
      </c>
      <c r="U63" s="55">
        <f t="shared" si="45"/>
        <v>0</v>
      </c>
      <c r="V63" s="57">
        <f t="shared" si="45"/>
        <v>0</v>
      </c>
      <c r="W63" s="57">
        <f t="shared" si="45"/>
        <v>0</v>
      </c>
      <c r="X63" s="80">
        <f t="shared" si="45"/>
        <v>0</v>
      </c>
      <c r="Y63" s="106">
        <f t="shared" si="45"/>
        <v>1482.7491199999999</v>
      </c>
      <c r="Z63" s="46"/>
      <c r="AA63" s="81"/>
    </row>
    <row r="64" spans="1:27" ht="37.5">
      <c r="A64" s="56"/>
      <c r="B64" s="62" t="s">
        <v>56</v>
      </c>
      <c r="C64" s="58">
        <v>902</v>
      </c>
      <c r="D64" s="58" t="s">
        <v>48</v>
      </c>
      <c r="E64" s="58" t="s">
        <v>23</v>
      </c>
      <c r="F64" s="58" t="s">
        <v>94</v>
      </c>
      <c r="G64" s="59">
        <v>600</v>
      </c>
      <c r="H64" s="55"/>
      <c r="I64" s="55"/>
      <c r="J64" s="73"/>
      <c r="K64" s="70"/>
      <c r="L64" s="70"/>
      <c r="M64" s="70"/>
      <c r="N64" s="70"/>
      <c r="O64" s="70"/>
      <c r="P64" s="55">
        <v>0</v>
      </c>
      <c r="Q64" s="55">
        <v>0</v>
      </c>
      <c r="R64" s="73"/>
      <c r="S64" s="73"/>
      <c r="T64" s="77"/>
      <c r="U64" s="55">
        <v>0</v>
      </c>
      <c r="V64" s="57"/>
      <c r="W64" s="57"/>
      <c r="X64" s="80"/>
      <c r="Y64" s="106">
        <v>1482.7491199999999</v>
      </c>
      <c r="Z64" s="46"/>
      <c r="AA64" s="81"/>
    </row>
    <row r="65" spans="1:27" ht="27.75" customHeight="1">
      <c r="A65" s="56"/>
      <c r="B65" s="62" t="s">
        <v>63</v>
      </c>
      <c r="C65" s="58">
        <v>902</v>
      </c>
      <c r="D65" s="58" t="s">
        <v>48</v>
      </c>
      <c r="E65" s="58" t="s">
        <v>23</v>
      </c>
      <c r="F65" s="58" t="s">
        <v>95</v>
      </c>
      <c r="G65" s="59"/>
      <c r="H65" s="55">
        <f>H66+H68</f>
        <v>1239</v>
      </c>
      <c r="I65" s="55">
        <f>I66+I68</f>
        <v>129.69999999999999</v>
      </c>
      <c r="J65" s="73">
        <f>J66+J68</f>
        <v>2166.5</v>
      </c>
      <c r="K65" s="55">
        <f>K66+K68</f>
        <v>91.9</v>
      </c>
      <c r="L65" s="55"/>
      <c r="M65" s="55"/>
      <c r="N65" s="55"/>
      <c r="O65" s="70">
        <f>O66+O68</f>
        <v>2653</v>
      </c>
      <c r="P65" s="55">
        <f t="shared" ref="P65:U65" si="46">P66+P68</f>
        <v>248.4</v>
      </c>
      <c r="Q65" s="70">
        <f t="shared" si="46"/>
        <v>0</v>
      </c>
      <c r="R65" s="70">
        <f t="shared" si="46"/>
        <v>0</v>
      </c>
      <c r="S65" s="70">
        <f t="shared" si="46"/>
        <v>0</v>
      </c>
      <c r="T65" s="76">
        <f t="shared" si="46"/>
        <v>4479.7</v>
      </c>
      <c r="U65" s="55">
        <f t="shared" si="46"/>
        <v>0</v>
      </c>
      <c r="V65" s="57">
        <f t="shared" ref="V65:Y65" si="47">V66+V68</f>
        <v>0</v>
      </c>
      <c r="W65" s="57">
        <f t="shared" si="47"/>
        <v>0</v>
      </c>
      <c r="X65" s="80">
        <f t="shared" si="47"/>
        <v>152</v>
      </c>
      <c r="Y65" s="106">
        <f t="shared" si="47"/>
        <v>5482.8269799999998</v>
      </c>
      <c r="Z65" s="46"/>
      <c r="AA65" s="81"/>
    </row>
    <row r="66" spans="1:27" ht="37.5">
      <c r="A66" s="56"/>
      <c r="B66" s="57" t="s">
        <v>65</v>
      </c>
      <c r="C66" s="58">
        <v>902</v>
      </c>
      <c r="D66" s="58" t="s">
        <v>48</v>
      </c>
      <c r="E66" s="58" t="s">
        <v>23</v>
      </c>
      <c r="F66" s="58" t="s">
        <v>96</v>
      </c>
      <c r="G66" s="59" t="s">
        <v>21</v>
      </c>
      <c r="H66" s="55">
        <f>H67</f>
        <v>1232.0999999999999</v>
      </c>
      <c r="I66" s="55">
        <f>I67</f>
        <v>0</v>
      </c>
      <c r="J66" s="73">
        <f>J67</f>
        <v>2161.6999999999998</v>
      </c>
      <c r="K66" s="55">
        <f>K67</f>
        <v>0</v>
      </c>
      <c r="L66" s="55"/>
      <c r="M66" s="55"/>
      <c r="N66" s="55"/>
      <c r="O66" s="70">
        <f>O67</f>
        <v>2640</v>
      </c>
      <c r="P66" s="55">
        <f t="shared" ref="P66:U66" si="48">P67</f>
        <v>0</v>
      </c>
      <c r="Q66" s="70">
        <f t="shared" si="48"/>
        <v>0</v>
      </c>
      <c r="R66" s="70">
        <f t="shared" si="48"/>
        <v>0</v>
      </c>
      <c r="S66" s="70">
        <f t="shared" si="48"/>
        <v>0</v>
      </c>
      <c r="T66" s="76">
        <f t="shared" si="48"/>
        <v>4471.7</v>
      </c>
      <c r="U66" s="55">
        <f t="shared" si="48"/>
        <v>0</v>
      </c>
      <c r="V66" s="57">
        <f t="shared" ref="V66:Y66" si="49">V67</f>
        <v>0</v>
      </c>
      <c r="W66" s="57">
        <f t="shared" si="49"/>
        <v>0</v>
      </c>
      <c r="X66" s="80">
        <f t="shared" si="49"/>
        <v>0</v>
      </c>
      <c r="Y66" s="106">
        <f t="shared" si="49"/>
        <v>5322.8269799999998</v>
      </c>
      <c r="Z66" s="46"/>
      <c r="AA66" s="81"/>
    </row>
    <row r="67" spans="1:27" ht="37.5">
      <c r="A67" s="56" t="s">
        <v>21</v>
      </c>
      <c r="B67" s="57" t="s">
        <v>56</v>
      </c>
      <c r="C67" s="58">
        <v>902</v>
      </c>
      <c r="D67" s="58" t="s">
        <v>48</v>
      </c>
      <c r="E67" s="58" t="s">
        <v>23</v>
      </c>
      <c r="F67" s="58" t="s">
        <v>96</v>
      </c>
      <c r="G67" s="59" t="s">
        <v>67</v>
      </c>
      <c r="H67" s="55">
        <f>1368.7-129.7-6.9</f>
        <v>1232.0999999999999</v>
      </c>
      <c r="I67" s="55"/>
      <c r="J67" s="73">
        <f>2253.6-91.9</f>
        <v>2161.6999999999998</v>
      </c>
      <c r="K67" s="70"/>
      <c r="L67" s="70"/>
      <c r="M67" s="70"/>
      <c r="N67" s="70"/>
      <c r="O67" s="70">
        <f>2770.7-130.7</f>
        <v>2640</v>
      </c>
      <c r="P67" s="55">
        <v>0</v>
      </c>
      <c r="Q67" s="73"/>
      <c r="R67" s="73"/>
      <c r="S67" s="73"/>
      <c r="T67" s="77">
        <f>4631.7-160</f>
        <v>4471.7</v>
      </c>
      <c r="U67" s="55">
        <v>0</v>
      </c>
      <c r="V67" s="57"/>
      <c r="W67" s="57"/>
      <c r="X67" s="80"/>
      <c r="Y67" s="106">
        <v>5322.8269799999998</v>
      </c>
      <c r="Z67" s="46"/>
      <c r="AA67" s="81"/>
    </row>
    <row r="68" spans="1:27" ht="37.5">
      <c r="A68" s="56"/>
      <c r="B68" s="57" t="s">
        <v>68</v>
      </c>
      <c r="C68" s="58">
        <v>902</v>
      </c>
      <c r="D68" s="58" t="s">
        <v>48</v>
      </c>
      <c r="E68" s="58" t="s">
        <v>23</v>
      </c>
      <c r="F68" s="58" t="s">
        <v>97</v>
      </c>
      <c r="G68" s="59"/>
      <c r="H68" s="55">
        <f>H69</f>
        <v>6.9</v>
      </c>
      <c r="I68" s="55">
        <f>I69</f>
        <v>129.69999999999999</v>
      </c>
      <c r="J68" s="73">
        <f>J69</f>
        <v>4.8</v>
      </c>
      <c r="K68" s="55">
        <f>K69</f>
        <v>91.9</v>
      </c>
      <c r="L68" s="55"/>
      <c r="M68" s="55"/>
      <c r="N68" s="55"/>
      <c r="O68" s="70">
        <f t="shared" ref="O68:U68" si="50">O69</f>
        <v>13</v>
      </c>
      <c r="P68" s="55">
        <f t="shared" si="50"/>
        <v>248.4</v>
      </c>
      <c r="Q68" s="70">
        <f t="shared" si="50"/>
        <v>0</v>
      </c>
      <c r="R68" s="70">
        <f t="shared" si="50"/>
        <v>0</v>
      </c>
      <c r="S68" s="70">
        <f t="shared" si="50"/>
        <v>0</v>
      </c>
      <c r="T68" s="76">
        <f t="shared" si="50"/>
        <v>8</v>
      </c>
      <c r="U68" s="57">
        <f t="shared" si="50"/>
        <v>0</v>
      </c>
      <c r="V68" s="57">
        <f t="shared" ref="V68:Y68" si="51">V69</f>
        <v>0</v>
      </c>
      <c r="W68" s="57">
        <f t="shared" si="51"/>
        <v>0</v>
      </c>
      <c r="X68" s="80">
        <f t="shared" si="51"/>
        <v>152</v>
      </c>
      <c r="Y68" s="106">
        <f t="shared" si="51"/>
        <v>160</v>
      </c>
      <c r="Z68" s="46"/>
      <c r="AA68" s="81"/>
    </row>
    <row r="69" spans="1:27" ht="37.5">
      <c r="A69" s="56"/>
      <c r="B69" s="57" t="s">
        <v>56</v>
      </c>
      <c r="C69" s="58">
        <v>902</v>
      </c>
      <c r="D69" s="58" t="s">
        <v>48</v>
      </c>
      <c r="E69" s="58" t="s">
        <v>23</v>
      </c>
      <c r="F69" s="58" t="s">
        <v>97</v>
      </c>
      <c r="G69" s="59" t="s">
        <v>67</v>
      </c>
      <c r="H69" s="55">
        <v>6.9</v>
      </c>
      <c r="I69" s="55">
        <v>129.69999999999999</v>
      </c>
      <c r="J69" s="73">
        <v>4.8</v>
      </c>
      <c r="K69" s="70">
        <v>91.9</v>
      </c>
      <c r="L69" s="70"/>
      <c r="M69" s="70"/>
      <c r="N69" s="70"/>
      <c r="O69" s="70">
        <f>6.5+6.5</f>
        <v>13</v>
      </c>
      <c r="P69" s="55">
        <f>124.2+124.2</f>
        <v>248.4</v>
      </c>
      <c r="Q69" s="73"/>
      <c r="R69" s="73"/>
      <c r="S69" s="73"/>
      <c r="T69" s="77">
        <v>8</v>
      </c>
      <c r="U69" s="57"/>
      <c r="V69" s="57"/>
      <c r="W69" s="57"/>
      <c r="X69" s="80">
        <v>152</v>
      </c>
      <c r="Y69" s="106">
        <f>T69+U69+V69+W69+X69</f>
        <v>160</v>
      </c>
      <c r="Z69" s="46"/>
      <c r="AA69" s="81"/>
    </row>
    <row r="70" spans="1:27" ht="57" customHeight="1">
      <c r="A70" s="56"/>
      <c r="B70" s="64" t="s">
        <v>72</v>
      </c>
      <c r="C70" s="58">
        <v>902</v>
      </c>
      <c r="D70" s="58" t="s">
        <v>48</v>
      </c>
      <c r="E70" s="58" t="s">
        <v>23</v>
      </c>
      <c r="F70" s="58" t="s">
        <v>98</v>
      </c>
      <c r="G70" s="59"/>
      <c r="H70" s="55">
        <f t="shared" ref="H70:K71" si="52">H71</f>
        <v>0</v>
      </c>
      <c r="I70" s="55">
        <f t="shared" si="52"/>
        <v>49.5</v>
      </c>
      <c r="J70" s="73">
        <f t="shared" si="52"/>
        <v>0</v>
      </c>
      <c r="K70" s="55">
        <f t="shared" si="52"/>
        <v>49.5</v>
      </c>
      <c r="L70" s="55"/>
      <c r="M70" s="55"/>
      <c r="N70" s="55"/>
      <c r="O70" s="70">
        <f>O71</f>
        <v>0</v>
      </c>
      <c r="P70" s="55">
        <f t="shared" ref="P70:T71" si="53">P71</f>
        <v>68.8</v>
      </c>
      <c r="Q70" s="70">
        <f t="shared" si="53"/>
        <v>0</v>
      </c>
      <c r="R70" s="70">
        <f t="shared" si="53"/>
        <v>0</v>
      </c>
      <c r="S70" s="70">
        <f t="shared" si="53"/>
        <v>0</v>
      </c>
      <c r="T70" s="76">
        <f t="shared" si="53"/>
        <v>0</v>
      </c>
      <c r="U70" s="57">
        <f>U71</f>
        <v>0</v>
      </c>
      <c r="V70" s="57">
        <f t="shared" ref="V70:Y71" si="54">V71</f>
        <v>0</v>
      </c>
      <c r="W70" s="57">
        <f t="shared" si="54"/>
        <v>0</v>
      </c>
      <c r="X70" s="57">
        <f t="shared" si="54"/>
        <v>143.4</v>
      </c>
      <c r="Y70" s="106">
        <f t="shared" si="54"/>
        <v>89.415000000000006</v>
      </c>
      <c r="Z70" s="46"/>
      <c r="AA70" s="81"/>
    </row>
    <row r="71" spans="1:27" ht="25.5" customHeight="1">
      <c r="A71" s="56" t="s">
        <v>21</v>
      </c>
      <c r="B71" s="57" t="s">
        <v>74</v>
      </c>
      <c r="C71" s="58">
        <v>902</v>
      </c>
      <c r="D71" s="58" t="s">
        <v>48</v>
      </c>
      <c r="E71" s="58" t="s">
        <v>23</v>
      </c>
      <c r="F71" s="58" t="s">
        <v>99</v>
      </c>
      <c r="G71" s="59"/>
      <c r="H71" s="55">
        <f t="shared" si="52"/>
        <v>0</v>
      </c>
      <c r="I71" s="55">
        <f t="shared" si="52"/>
        <v>49.5</v>
      </c>
      <c r="J71" s="73">
        <f t="shared" si="52"/>
        <v>0</v>
      </c>
      <c r="K71" s="55">
        <f t="shared" si="52"/>
        <v>49.5</v>
      </c>
      <c r="L71" s="55"/>
      <c r="M71" s="55"/>
      <c r="N71" s="55"/>
      <c r="O71" s="70">
        <f>O72</f>
        <v>0</v>
      </c>
      <c r="P71" s="55">
        <f t="shared" si="53"/>
        <v>68.8</v>
      </c>
      <c r="Q71" s="70">
        <f t="shared" si="53"/>
        <v>0</v>
      </c>
      <c r="R71" s="70">
        <f t="shared" si="53"/>
        <v>0</v>
      </c>
      <c r="S71" s="70">
        <f t="shared" si="53"/>
        <v>0</v>
      </c>
      <c r="T71" s="76">
        <f t="shared" si="53"/>
        <v>0</v>
      </c>
      <c r="U71" s="57">
        <f>U72</f>
        <v>0</v>
      </c>
      <c r="V71" s="57">
        <f t="shared" si="54"/>
        <v>0</v>
      </c>
      <c r="W71" s="57">
        <f t="shared" si="54"/>
        <v>0</v>
      </c>
      <c r="X71" s="57">
        <f t="shared" si="54"/>
        <v>143.4</v>
      </c>
      <c r="Y71" s="106">
        <f t="shared" si="54"/>
        <v>89.415000000000006</v>
      </c>
      <c r="Z71" s="46"/>
      <c r="AA71" s="81"/>
    </row>
    <row r="72" spans="1:27" ht="39" customHeight="1">
      <c r="A72" s="56" t="s">
        <v>21</v>
      </c>
      <c r="B72" s="57" t="s">
        <v>56</v>
      </c>
      <c r="C72" s="58">
        <v>902</v>
      </c>
      <c r="D72" s="58" t="s">
        <v>48</v>
      </c>
      <c r="E72" s="58" t="s">
        <v>23</v>
      </c>
      <c r="F72" s="58" t="s">
        <v>99</v>
      </c>
      <c r="G72" s="59">
        <v>600</v>
      </c>
      <c r="H72" s="55"/>
      <c r="I72" s="55">
        <v>49.5</v>
      </c>
      <c r="J72" s="73"/>
      <c r="K72" s="70">
        <v>49.5</v>
      </c>
      <c r="L72" s="70"/>
      <c r="M72" s="70"/>
      <c r="N72" s="70"/>
      <c r="O72" s="70"/>
      <c r="P72" s="55">
        <v>68.8</v>
      </c>
      <c r="Q72" s="73"/>
      <c r="R72" s="73"/>
      <c r="S72" s="73"/>
      <c r="T72" s="77"/>
      <c r="U72" s="57"/>
      <c r="V72" s="57"/>
      <c r="W72" s="57"/>
      <c r="X72" s="57">
        <v>143.4</v>
      </c>
      <c r="Y72" s="106">
        <v>89.415000000000006</v>
      </c>
      <c r="Z72" s="46"/>
      <c r="AA72" s="81"/>
    </row>
    <row r="73" spans="1:27" ht="23.25" hidden="1" customHeight="1">
      <c r="A73" s="56"/>
      <c r="B73" s="57" t="s">
        <v>100</v>
      </c>
      <c r="C73" s="58">
        <v>902</v>
      </c>
      <c r="D73" s="58" t="s">
        <v>48</v>
      </c>
      <c r="E73" s="58" t="s">
        <v>23</v>
      </c>
      <c r="F73" s="58" t="s">
        <v>101</v>
      </c>
      <c r="G73" s="59"/>
      <c r="H73" s="55">
        <f t="shared" ref="H73:K74" si="55">H74</f>
        <v>0</v>
      </c>
      <c r="I73" s="55">
        <f t="shared" si="55"/>
        <v>50</v>
      </c>
      <c r="J73" s="73">
        <f t="shared" si="55"/>
        <v>0</v>
      </c>
      <c r="K73" s="55">
        <f t="shared" si="55"/>
        <v>0</v>
      </c>
      <c r="L73" s="55"/>
      <c r="M73" s="55"/>
      <c r="N73" s="55"/>
      <c r="O73" s="70">
        <f>O74</f>
        <v>0</v>
      </c>
      <c r="P73" s="55">
        <v>0</v>
      </c>
      <c r="Q73" s="70">
        <f t="shared" ref="Q73:S73" si="56">Q74+Q77</f>
        <v>0</v>
      </c>
      <c r="R73" s="70">
        <f t="shared" si="56"/>
        <v>0</v>
      </c>
      <c r="S73" s="70">
        <f t="shared" si="56"/>
        <v>0</v>
      </c>
      <c r="T73" s="76">
        <f>T74</f>
        <v>0</v>
      </c>
      <c r="U73" s="57"/>
      <c r="V73" s="57"/>
      <c r="W73" s="57"/>
      <c r="X73" s="76">
        <f>X74</f>
        <v>0</v>
      </c>
      <c r="Y73" s="106">
        <f>Y74</f>
        <v>0</v>
      </c>
      <c r="Z73" s="46"/>
      <c r="AA73" s="81"/>
    </row>
    <row r="74" spans="1:27" ht="37.5" hidden="1">
      <c r="A74" s="56"/>
      <c r="B74" s="57" t="s">
        <v>78</v>
      </c>
      <c r="C74" s="58">
        <v>902</v>
      </c>
      <c r="D74" s="58" t="s">
        <v>48</v>
      </c>
      <c r="E74" s="58" t="s">
        <v>23</v>
      </c>
      <c r="F74" s="58" t="s">
        <v>102</v>
      </c>
      <c r="G74" s="59"/>
      <c r="H74" s="55">
        <f t="shared" si="55"/>
        <v>0</v>
      </c>
      <c r="I74" s="55">
        <f t="shared" si="55"/>
        <v>50</v>
      </c>
      <c r="J74" s="73">
        <f t="shared" si="55"/>
        <v>0</v>
      </c>
      <c r="K74" s="55">
        <f t="shared" si="55"/>
        <v>0</v>
      </c>
      <c r="L74" s="55"/>
      <c r="M74" s="55"/>
      <c r="N74" s="55"/>
      <c r="O74" s="70">
        <f t="shared" ref="O74:T74" si="57">O75</f>
        <v>0</v>
      </c>
      <c r="P74" s="55">
        <f t="shared" si="57"/>
        <v>0</v>
      </c>
      <c r="Q74" s="70">
        <f t="shared" si="57"/>
        <v>0</v>
      </c>
      <c r="R74" s="70">
        <f t="shared" si="57"/>
        <v>0</v>
      </c>
      <c r="S74" s="70">
        <f t="shared" si="57"/>
        <v>0</v>
      </c>
      <c r="T74" s="76">
        <f t="shared" si="57"/>
        <v>0</v>
      </c>
      <c r="U74" s="57"/>
      <c r="V74" s="57"/>
      <c r="W74" s="57"/>
      <c r="X74" s="76">
        <f>X75</f>
        <v>0</v>
      </c>
      <c r="Y74" s="106">
        <f>Y75</f>
        <v>0</v>
      </c>
      <c r="Z74" s="46"/>
      <c r="AA74" s="81"/>
    </row>
    <row r="75" spans="1:27" ht="37.5" hidden="1">
      <c r="A75" s="56"/>
      <c r="B75" s="57" t="s">
        <v>56</v>
      </c>
      <c r="C75" s="58">
        <v>902</v>
      </c>
      <c r="D75" s="58" t="s">
        <v>48</v>
      </c>
      <c r="E75" s="58" t="s">
        <v>23</v>
      </c>
      <c r="F75" s="58" t="s">
        <v>102</v>
      </c>
      <c r="G75" s="59">
        <v>600</v>
      </c>
      <c r="H75" s="55">
        <v>0</v>
      </c>
      <c r="I75" s="55">
        <v>50</v>
      </c>
      <c r="J75" s="73">
        <v>0</v>
      </c>
      <c r="K75" s="70"/>
      <c r="L75" s="70"/>
      <c r="M75" s="70"/>
      <c r="N75" s="70"/>
      <c r="O75" s="70">
        <f>J75+K75+M75+N75</f>
        <v>0</v>
      </c>
      <c r="P75" s="55"/>
      <c r="Q75" s="73"/>
      <c r="R75" s="73"/>
      <c r="S75" s="73"/>
      <c r="T75" s="77">
        <f>O75+P75+Q75+R75+S75</f>
        <v>0</v>
      </c>
      <c r="U75" s="57"/>
      <c r="V75" s="57"/>
      <c r="W75" s="57"/>
      <c r="X75" s="57">
        <v>0</v>
      </c>
      <c r="Y75" s="106">
        <v>0</v>
      </c>
      <c r="Z75" s="46"/>
      <c r="AA75" s="81"/>
    </row>
    <row r="76" spans="1:27" hidden="1">
      <c r="A76" s="56"/>
      <c r="B76" s="57" t="s">
        <v>85</v>
      </c>
      <c r="C76" s="58">
        <v>902</v>
      </c>
      <c r="D76" s="58" t="s">
        <v>48</v>
      </c>
      <c r="E76" s="58" t="s">
        <v>23</v>
      </c>
      <c r="F76" s="58" t="s">
        <v>103</v>
      </c>
      <c r="G76" s="59"/>
      <c r="H76" s="55"/>
      <c r="I76" s="55"/>
      <c r="J76" s="73"/>
      <c r="K76" s="70"/>
      <c r="L76" s="70"/>
      <c r="M76" s="70"/>
      <c r="N76" s="70"/>
      <c r="O76" s="70"/>
      <c r="P76" s="55"/>
      <c r="Q76" s="73"/>
      <c r="R76" s="73"/>
      <c r="S76" s="73"/>
      <c r="T76" s="77">
        <f t="shared" ref="T76:Y76" si="58">T77+T79</f>
        <v>0</v>
      </c>
      <c r="U76" s="57">
        <f t="shared" si="58"/>
        <v>0</v>
      </c>
      <c r="V76" s="57">
        <f t="shared" si="58"/>
        <v>0</v>
      </c>
      <c r="W76" s="57">
        <f t="shared" si="58"/>
        <v>0</v>
      </c>
      <c r="X76" s="77">
        <f t="shared" si="58"/>
        <v>0</v>
      </c>
      <c r="Y76" s="107">
        <f t="shared" si="58"/>
        <v>0</v>
      </c>
      <c r="Z76" s="46"/>
      <c r="AA76" s="81"/>
    </row>
    <row r="77" spans="1:27" ht="37.5" hidden="1">
      <c r="A77" s="56"/>
      <c r="B77" s="57" t="s">
        <v>87</v>
      </c>
      <c r="C77" s="58">
        <v>902</v>
      </c>
      <c r="D77" s="58" t="s">
        <v>48</v>
      </c>
      <c r="E77" s="58" t="s">
        <v>23</v>
      </c>
      <c r="F77" s="58" t="s">
        <v>104</v>
      </c>
      <c r="G77" s="59"/>
      <c r="H77" s="55"/>
      <c r="I77" s="55"/>
      <c r="J77" s="73">
        <f>J78</f>
        <v>0</v>
      </c>
      <c r="K77" s="55">
        <f>K78</f>
        <v>0</v>
      </c>
      <c r="L77" s="55"/>
      <c r="M77" s="55"/>
      <c r="N77" s="55"/>
      <c r="O77" s="70">
        <f t="shared" ref="O77:U77" si="59">O78</f>
        <v>0.6</v>
      </c>
      <c r="P77" s="55">
        <f t="shared" si="59"/>
        <v>50.6</v>
      </c>
      <c r="Q77" s="70">
        <f t="shared" si="59"/>
        <v>0</v>
      </c>
      <c r="R77" s="70">
        <f t="shared" si="59"/>
        <v>0</v>
      </c>
      <c r="S77" s="70">
        <f t="shared" si="59"/>
        <v>0</v>
      </c>
      <c r="T77" s="76">
        <f t="shared" si="59"/>
        <v>0</v>
      </c>
      <c r="U77" s="57">
        <f t="shared" si="59"/>
        <v>0</v>
      </c>
      <c r="V77" s="57">
        <f t="shared" ref="V77:Y77" si="60">V78</f>
        <v>0</v>
      </c>
      <c r="W77" s="57">
        <f t="shared" si="60"/>
        <v>0</v>
      </c>
      <c r="X77" s="57">
        <f t="shared" si="60"/>
        <v>0</v>
      </c>
      <c r="Y77" s="106">
        <f t="shared" si="60"/>
        <v>0</v>
      </c>
      <c r="Z77" s="46"/>
      <c r="AA77" s="81"/>
    </row>
    <row r="78" spans="1:27" ht="37.5" hidden="1">
      <c r="A78" s="56"/>
      <c r="B78" s="57" t="s">
        <v>56</v>
      </c>
      <c r="C78" s="58">
        <v>902</v>
      </c>
      <c r="D78" s="58" t="s">
        <v>48</v>
      </c>
      <c r="E78" s="58" t="s">
        <v>23</v>
      </c>
      <c r="F78" s="58" t="s">
        <v>104</v>
      </c>
      <c r="G78" s="59">
        <v>600</v>
      </c>
      <c r="H78" s="55"/>
      <c r="I78" s="55"/>
      <c r="J78" s="73"/>
      <c r="K78" s="70"/>
      <c r="L78" s="70"/>
      <c r="M78" s="70"/>
      <c r="N78" s="70"/>
      <c r="O78" s="70">
        <v>0.6</v>
      </c>
      <c r="P78" s="55">
        <v>50.6</v>
      </c>
      <c r="Q78" s="73"/>
      <c r="R78" s="73"/>
      <c r="S78" s="73"/>
      <c r="T78" s="77"/>
      <c r="U78" s="57"/>
      <c r="V78" s="57"/>
      <c r="W78" s="57"/>
      <c r="X78" s="57"/>
      <c r="Y78" s="106">
        <f>T78+U78+V78+W78+X78</f>
        <v>0</v>
      </c>
      <c r="Z78" s="46"/>
      <c r="AA78" s="81"/>
    </row>
    <row r="79" spans="1:27" ht="37.5" hidden="1">
      <c r="A79" s="56"/>
      <c r="B79" s="57" t="s">
        <v>89</v>
      </c>
      <c r="C79" s="58">
        <v>902</v>
      </c>
      <c r="D79" s="58" t="s">
        <v>48</v>
      </c>
      <c r="E79" s="58" t="s">
        <v>23</v>
      </c>
      <c r="F79" s="58" t="s">
        <v>105</v>
      </c>
      <c r="G79" s="59"/>
      <c r="H79" s="55"/>
      <c r="I79" s="55"/>
      <c r="J79" s="73"/>
      <c r="K79" s="70">
        <f>K80</f>
        <v>412.1</v>
      </c>
      <c r="L79" s="70"/>
      <c r="M79" s="70"/>
      <c r="N79" s="70"/>
      <c r="O79" s="70">
        <f t="shared" ref="O79:U79" si="61">O80</f>
        <v>1.1000000000000001</v>
      </c>
      <c r="P79" s="55">
        <f t="shared" si="61"/>
        <v>101.1</v>
      </c>
      <c r="Q79" s="70">
        <f t="shared" si="61"/>
        <v>0</v>
      </c>
      <c r="R79" s="70">
        <f t="shared" si="61"/>
        <v>0</v>
      </c>
      <c r="S79" s="70">
        <f t="shared" si="61"/>
        <v>0</v>
      </c>
      <c r="T79" s="76">
        <f t="shared" si="61"/>
        <v>0</v>
      </c>
      <c r="U79" s="57">
        <f t="shared" si="61"/>
        <v>0</v>
      </c>
      <c r="V79" s="57">
        <f t="shared" ref="V79:Y79" si="62">V80</f>
        <v>0</v>
      </c>
      <c r="W79" s="57">
        <f t="shared" si="62"/>
        <v>0</v>
      </c>
      <c r="X79" s="57">
        <f t="shared" si="62"/>
        <v>0</v>
      </c>
      <c r="Y79" s="106">
        <f t="shared" si="62"/>
        <v>0</v>
      </c>
      <c r="Z79" s="46"/>
      <c r="AA79" s="81"/>
    </row>
    <row r="80" spans="1:27" ht="37.5" hidden="1">
      <c r="A80" s="56"/>
      <c r="B80" s="57" t="s">
        <v>56</v>
      </c>
      <c r="C80" s="58">
        <v>902</v>
      </c>
      <c r="D80" s="58" t="s">
        <v>48</v>
      </c>
      <c r="E80" s="58" t="s">
        <v>23</v>
      </c>
      <c r="F80" s="58" t="s">
        <v>105</v>
      </c>
      <c r="G80" s="59">
        <v>600</v>
      </c>
      <c r="H80" s="55"/>
      <c r="I80" s="55"/>
      <c r="J80" s="73"/>
      <c r="K80" s="70">
        <v>412.1</v>
      </c>
      <c r="L80" s="70"/>
      <c r="M80" s="70"/>
      <c r="N80" s="70"/>
      <c r="O80" s="70">
        <v>1.1000000000000001</v>
      </c>
      <c r="P80" s="55">
        <v>101.1</v>
      </c>
      <c r="Q80" s="73"/>
      <c r="R80" s="73"/>
      <c r="S80" s="55">
        <v>0</v>
      </c>
      <c r="T80" s="77"/>
      <c r="U80" s="57"/>
      <c r="V80" s="57"/>
      <c r="W80" s="57"/>
      <c r="X80" s="57"/>
      <c r="Y80" s="106">
        <f>T80+U80+V80+W80+X80</f>
        <v>0</v>
      </c>
      <c r="Z80" s="46"/>
      <c r="AA80" s="81"/>
    </row>
    <row r="81" spans="1:27" hidden="1">
      <c r="A81" s="56"/>
      <c r="B81" s="57" t="s">
        <v>106</v>
      </c>
      <c r="C81" s="58">
        <v>902</v>
      </c>
      <c r="D81" s="58" t="s">
        <v>48</v>
      </c>
      <c r="E81" s="58" t="s">
        <v>23</v>
      </c>
      <c r="F81" s="58" t="s">
        <v>107</v>
      </c>
      <c r="G81" s="59"/>
      <c r="H81" s="55"/>
      <c r="I81" s="55"/>
      <c r="J81" s="73"/>
      <c r="K81" s="70"/>
      <c r="L81" s="70"/>
      <c r="M81" s="70"/>
      <c r="N81" s="70"/>
      <c r="O81" s="70"/>
      <c r="P81" s="55"/>
      <c r="Q81" s="73"/>
      <c r="R81" s="73"/>
      <c r="S81" s="55"/>
      <c r="T81" s="77"/>
      <c r="U81" s="57"/>
      <c r="V81" s="57"/>
      <c r="W81" s="57"/>
      <c r="X81" s="57"/>
      <c r="Y81" s="106">
        <f>Y82</f>
        <v>0</v>
      </c>
      <c r="Z81" s="46"/>
      <c r="AA81" s="81"/>
    </row>
    <row r="82" spans="1:27" hidden="1">
      <c r="A82" s="56"/>
      <c r="B82" s="57" t="s">
        <v>108</v>
      </c>
      <c r="C82" s="58">
        <v>902</v>
      </c>
      <c r="D82" s="58" t="s">
        <v>48</v>
      </c>
      <c r="E82" s="58" t="s">
        <v>23</v>
      </c>
      <c r="F82" s="58" t="s">
        <v>109</v>
      </c>
      <c r="G82" s="59"/>
      <c r="H82" s="55"/>
      <c r="I82" s="55"/>
      <c r="J82" s="73"/>
      <c r="K82" s="70"/>
      <c r="L82" s="70"/>
      <c r="M82" s="70"/>
      <c r="N82" s="70"/>
      <c r="O82" s="70">
        <f>O83</f>
        <v>0</v>
      </c>
      <c r="P82" s="55">
        <f>P83</f>
        <v>3535.3</v>
      </c>
      <c r="Q82" s="73"/>
      <c r="R82" s="73"/>
      <c r="S82" s="55"/>
      <c r="T82" s="77">
        <f>T83</f>
        <v>0</v>
      </c>
      <c r="U82" s="57">
        <f>U83</f>
        <v>0</v>
      </c>
      <c r="V82" s="57">
        <f t="shared" ref="V82:Y82" si="63">V83</f>
        <v>0</v>
      </c>
      <c r="W82" s="57">
        <f t="shared" si="63"/>
        <v>0</v>
      </c>
      <c r="X82" s="57">
        <f t="shared" si="63"/>
        <v>0</v>
      </c>
      <c r="Y82" s="106">
        <f t="shared" si="63"/>
        <v>0</v>
      </c>
      <c r="Z82" s="46"/>
      <c r="AA82" s="81"/>
    </row>
    <row r="83" spans="1:27" ht="37.5" hidden="1">
      <c r="A83" s="56"/>
      <c r="B83" s="57" t="s">
        <v>56</v>
      </c>
      <c r="C83" s="58">
        <v>902</v>
      </c>
      <c r="D83" s="58" t="s">
        <v>48</v>
      </c>
      <c r="E83" s="58" t="s">
        <v>23</v>
      </c>
      <c r="F83" s="58" t="s">
        <v>109</v>
      </c>
      <c r="G83" s="59">
        <v>600</v>
      </c>
      <c r="H83" s="55"/>
      <c r="I83" s="55"/>
      <c r="J83" s="73"/>
      <c r="K83" s="70"/>
      <c r="L83" s="70"/>
      <c r="M83" s="70"/>
      <c r="N83" s="70"/>
      <c r="O83" s="70"/>
      <c r="P83" s="55">
        <v>3535.3</v>
      </c>
      <c r="Q83" s="73"/>
      <c r="R83" s="73"/>
      <c r="S83" s="55"/>
      <c r="T83" s="77"/>
      <c r="U83" s="57">
        <v>0</v>
      </c>
      <c r="V83" s="57"/>
      <c r="W83" s="57"/>
      <c r="X83" s="57"/>
      <c r="Y83" s="106">
        <f>T83+U83+V83+W83+X83</f>
        <v>0</v>
      </c>
      <c r="Z83" s="46"/>
      <c r="AA83" s="81"/>
    </row>
    <row r="84" spans="1:27" ht="26.25" customHeight="1">
      <c r="A84" s="56" t="s">
        <v>21</v>
      </c>
      <c r="B84" s="62" t="s">
        <v>110</v>
      </c>
      <c r="C84" s="58">
        <v>902</v>
      </c>
      <c r="D84" s="58" t="s">
        <v>48</v>
      </c>
      <c r="E84" s="58" t="s">
        <v>23</v>
      </c>
      <c r="F84" s="58" t="s">
        <v>111</v>
      </c>
      <c r="G84" s="59" t="s">
        <v>21</v>
      </c>
      <c r="H84" s="55">
        <f>H85+H90+H95+H99</f>
        <v>13114</v>
      </c>
      <c r="I84" s="55">
        <f>I85+I90+I95+I99</f>
        <v>1660.8000000000002</v>
      </c>
      <c r="J84" s="73">
        <f>J85+J90+J95+J99</f>
        <v>15211.439999999999</v>
      </c>
      <c r="K84" s="55">
        <f>K85+K90+K95+K99+K101</f>
        <v>1543.8999999999999</v>
      </c>
      <c r="L84" s="55"/>
      <c r="M84" s="55"/>
      <c r="N84" s="55"/>
      <c r="O84" s="70">
        <f>O85+O90+O95+O99+O101+O88+O106+O103</f>
        <v>15868.900000000001</v>
      </c>
      <c r="P84" s="55">
        <f>P85+P90+P95+P99+P101+P88+P106+P103</f>
        <v>2134.2999999999997</v>
      </c>
      <c r="Q84" s="70">
        <f>Q85+Q90+Q95+Q99+Q101+Q88</f>
        <v>0</v>
      </c>
      <c r="R84" s="70">
        <f>R85+R90+R95+R99+R101+R88</f>
        <v>0</v>
      </c>
      <c r="S84" s="70">
        <f>S85+S90+S95+S99+S101+S88</f>
        <v>0</v>
      </c>
      <c r="T84" s="76">
        <f t="shared" ref="T84:Y84" si="64">T85+T90+T95+T98+T105</f>
        <v>19585.300000000003</v>
      </c>
      <c r="U84" s="70">
        <f t="shared" si="64"/>
        <v>0</v>
      </c>
      <c r="V84" s="70">
        <f t="shared" si="64"/>
        <v>0</v>
      </c>
      <c r="W84" s="70">
        <f t="shared" si="64"/>
        <v>0</v>
      </c>
      <c r="X84" s="76">
        <f t="shared" si="64"/>
        <v>1577.7999999999997</v>
      </c>
      <c r="Y84" s="106">
        <f t="shared" si="64"/>
        <v>23234.655299999999</v>
      </c>
      <c r="Z84" s="46"/>
      <c r="AA84" s="81"/>
    </row>
    <row r="85" spans="1:27" ht="63.75" customHeight="1">
      <c r="A85" s="56"/>
      <c r="B85" s="57" t="s">
        <v>57</v>
      </c>
      <c r="C85" s="58">
        <v>902</v>
      </c>
      <c r="D85" s="58" t="s">
        <v>48</v>
      </c>
      <c r="E85" s="58" t="s">
        <v>23</v>
      </c>
      <c r="F85" s="58" t="s">
        <v>112</v>
      </c>
      <c r="G85" s="59"/>
      <c r="H85" s="55">
        <f>H87</f>
        <v>850</v>
      </c>
      <c r="I85" s="55">
        <f>I87</f>
        <v>0</v>
      </c>
      <c r="J85" s="73">
        <f>J87</f>
        <v>0</v>
      </c>
      <c r="K85" s="55">
        <f>K87</f>
        <v>0</v>
      </c>
      <c r="L85" s="55"/>
      <c r="M85" s="55"/>
      <c r="N85" s="55"/>
      <c r="O85" s="70">
        <f t="shared" ref="O85:S85" si="65">O87</f>
        <v>0</v>
      </c>
      <c r="P85" s="55">
        <f t="shared" si="65"/>
        <v>0</v>
      </c>
      <c r="Q85" s="70">
        <f t="shared" si="65"/>
        <v>0</v>
      </c>
      <c r="R85" s="70">
        <f t="shared" si="65"/>
        <v>0</v>
      </c>
      <c r="S85" s="70">
        <f t="shared" si="65"/>
        <v>0</v>
      </c>
      <c r="T85" s="76">
        <f t="shared" ref="T85:Y85" si="66">T86+T88</f>
        <v>137</v>
      </c>
      <c r="U85" s="55">
        <f t="shared" si="66"/>
        <v>0</v>
      </c>
      <c r="V85" s="57">
        <f t="shared" si="66"/>
        <v>0</v>
      </c>
      <c r="W85" s="57">
        <f t="shared" si="66"/>
        <v>0</v>
      </c>
      <c r="X85" s="57">
        <f t="shared" si="66"/>
        <v>0</v>
      </c>
      <c r="Y85" s="106">
        <f t="shared" si="66"/>
        <v>254</v>
      </c>
      <c r="Z85" s="46"/>
      <c r="AA85" s="81"/>
    </row>
    <row r="86" spans="1:27" ht="15.75" hidden="1" customHeight="1">
      <c r="A86" s="56"/>
      <c r="B86" s="57" t="s">
        <v>113</v>
      </c>
      <c r="C86" s="58">
        <v>902</v>
      </c>
      <c r="D86" s="58" t="s">
        <v>48</v>
      </c>
      <c r="E86" s="58" t="s">
        <v>23</v>
      </c>
      <c r="F86" s="58" t="s">
        <v>114</v>
      </c>
      <c r="G86" s="59"/>
      <c r="H86" s="55"/>
      <c r="I86" s="55"/>
      <c r="J86" s="73"/>
      <c r="K86" s="55"/>
      <c r="L86" s="55"/>
      <c r="M86" s="55"/>
      <c r="N86" s="55"/>
      <c r="O86" s="70"/>
      <c r="P86" s="55"/>
      <c r="Q86" s="70"/>
      <c r="R86" s="70"/>
      <c r="S86" s="70"/>
      <c r="T86" s="77">
        <f t="shared" ref="T86:Y86" si="67">T87</f>
        <v>0</v>
      </c>
      <c r="U86" s="57">
        <f t="shared" si="67"/>
        <v>0</v>
      </c>
      <c r="V86" s="57">
        <f t="shared" si="67"/>
        <v>0</v>
      </c>
      <c r="W86" s="57">
        <f t="shared" si="67"/>
        <v>0</v>
      </c>
      <c r="X86" s="57">
        <f t="shared" si="67"/>
        <v>0</v>
      </c>
      <c r="Y86" s="106">
        <f t="shared" si="67"/>
        <v>0</v>
      </c>
      <c r="Z86" s="46"/>
      <c r="AA86" s="81"/>
    </row>
    <row r="87" spans="1:27" s="44" customFormat="1" ht="44.25" hidden="1" customHeight="1">
      <c r="A87" s="82"/>
      <c r="B87" s="57" t="s">
        <v>56</v>
      </c>
      <c r="C87" s="58">
        <v>902</v>
      </c>
      <c r="D87" s="58" t="s">
        <v>48</v>
      </c>
      <c r="E87" s="58" t="s">
        <v>23</v>
      </c>
      <c r="F87" s="58" t="s">
        <v>114</v>
      </c>
      <c r="G87" s="59">
        <v>600</v>
      </c>
      <c r="H87" s="55">
        <v>850</v>
      </c>
      <c r="I87" s="55"/>
      <c r="J87" s="73"/>
      <c r="K87" s="70">
        <v>0</v>
      </c>
      <c r="L87" s="70"/>
      <c r="M87" s="70"/>
      <c r="N87" s="70"/>
      <c r="O87" s="70"/>
      <c r="P87" s="55">
        <v>0</v>
      </c>
      <c r="Q87" s="55">
        <v>0</v>
      </c>
      <c r="R87" s="73"/>
      <c r="S87" s="73"/>
      <c r="T87" s="77">
        <v>0</v>
      </c>
      <c r="U87" s="57">
        <v>0</v>
      </c>
      <c r="V87" s="57"/>
      <c r="W87" s="57"/>
      <c r="X87" s="57"/>
      <c r="Y87" s="106">
        <f>T87+U87+V87+W87+X87</f>
        <v>0</v>
      </c>
      <c r="Z87" s="46"/>
      <c r="AA87" s="81"/>
    </row>
    <row r="88" spans="1:27" s="44" customFormat="1" ht="24.75" customHeight="1">
      <c r="A88" s="82"/>
      <c r="B88" s="57" t="s">
        <v>54</v>
      </c>
      <c r="C88" s="58">
        <v>902</v>
      </c>
      <c r="D88" s="58" t="s">
        <v>48</v>
      </c>
      <c r="E88" s="58" t="s">
        <v>23</v>
      </c>
      <c r="F88" s="58" t="s">
        <v>115</v>
      </c>
      <c r="G88" s="59"/>
      <c r="H88" s="55"/>
      <c r="I88" s="55"/>
      <c r="J88" s="73"/>
      <c r="K88" s="70"/>
      <c r="L88" s="70"/>
      <c r="M88" s="70"/>
      <c r="N88" s="70"/>
      <c r="O88" s="70">
        <f t="shared" ref="O88:U88" si="68">O89</f>
        <v>30</v>
      </c>
      <c r="P88" s="55">
        <f t="shared" si="68"/>
        <v>0</v>
      </c>
      <c r="Q88" s="55">
        <f t="shared" si="68"/>
        <v>0</v>
      </c>
      <c r="R88" s="55">
        <f t="shared" si="68"/>
        <v>0</v>
      </c>
      <c r="S88" s="55">
        <f t="shared" si="68"/>
        <v>0</v>
      </c>
      <c r="T88" s="77">
        <f t="shared" si="68"/>
        <v>137</v>
      </c>
      <c r="U88" s="55">
        <f t="shared" si="68"/>
        <v>0</v>
      </c>
      <c r="V88" s="57">
        <f t="shared" ref="V88:Y88" si="69">V89</f>
        <v>0</v>
      </c>
      <c r="W88" s="57">
        <f t="shared" si="69"/>
        <v>0</v>
      </c>
      <c r="X88" s="57">
        <f t="shared" si="69"/>
        <v>0</v>
      </c>
      <c r="Y88" s="106">
        <f t="shared" si="69"/>
        <v>254</v>
      </c>
      <c r="Z88" s="46"/>
      <c r="AA88" s="81"/>
    </row>
    <row r="89" spans="1:27" s="44" customFormat="1" ht="44.25" customHeight="1">
      <c r="A89" s="82"/>
      <c r="B89" s="57" t="s">
        <v>56</v>
      </c>
      <c r="C89" s="58">
        <v>902</v>
      </c>
      <c r="D89" s="58" t="s">
        <v>48</v>
      </c>
      <c r="E89" s="58" t="s">
        <v>23</v>
      </c>
      <c r="F89" s="58" t="s">
        <v>115</v>
      </c>
      <c r="G89" s="59">
        <v>600</v>
      </c>
      <c r="H89" s="55"/>
      <c r="I89" s="55"/>
      <c r="J89" s="73"/>
      <c r="K89" s="70"/>
      <c r="L89" s="70"/>
      <c r="M89" s="70"/>
      <c r="N89" s="70"/>
      <c r="O89" s="70">
        <v>30</v>
      </c>
      <c r="P89" s="55">
        <v>0</v>
      </c>
      <c r="Q89" s="55">
        <v>0</v>
      </c>
      <c r="R89" s="73"/>
      <c r="S89" s="73"/>
      <c r="T89" s="77">
        <v>137</v>
      </c>
      <c r="U89" s="55">
        <v>0</v>
      </c>
      <c r="V89" s="57"/>
      <c r="W89" s="57"/>
      <c r="X89" s="57"/>
      <c r="Y89" s="106">
        <v>254</v>
      </c>
      <c r="Z89" s="46"/>
      <c r="AA89" s="81"/>
    </row>
    <row r="90" spans="1:27" ht="22.5" customHeight="1">
      <c r="A90" s="56"/>
      <c r="B90" s="57" t="s">
        <v>63</v>
      </c>
      <c r="C90" s="58">
        <v>902</v>
      </c>
      <c r="D90" s="58" t="s">
        <v>48</v>
      </c>
      <c r="E90" s="58" t="s">
        <v>23</v>
      </c>
      <c r="F90" s="58" t="s">
        <v>116</v>
      </c>
      <c r="G90" s="59"/>
      <c r="H90" s="55">
        <f>H91+H93</f>
        <v>10764</v>
      </c>
      <c r="I90" s="55">
        <f>I91+I93</f>
        <v>1058.9000000000001</v>
      </c>
      <c r="J90" s="73">
        <f>J91+J93</f>
        <v>13035.4</v>
      </c>
      <c r="K90" s="55">
        <f>K91+K93</f>
        <v>748.7</v>
      </c>
      <c r="L90" s="55"/>
      <c r="M90" s="55"/>
      <c r="N90" s="55"/>
      <c r="O90" s="70">
        <f t="shared" ref="O90:U90" si="70">O91+O93</f>
        <v>15836.7</v>
      </c>
      <c r="P90" s="55">
        <f t="shared" si="70"/>
        <v>1196.5999999999999</v>
      </c>
      <c r="Q90" s="70">
        <f t="shared" si="70"/>
        <v>0</v>
      </c>
      <c r="R90" s="70">
        <f t="shared" si="70"/>
        <v>0</v>
      </c>
      <c r="S90" s="70">
        <f t="shared" si="70"/>
        <v>0</v>
      </c>
      <c r="T90" s="76">
        <f t="shared" si="70"/>
        <v>19166.200000000004</v>
      </c>
      <c r="U90" s="57">
        <f t="shared" si="70"/>
        <v>0</v>
      </c>
      <c r="V90" s="55">
        <f t="shared" ref="V90:Y90" si="71">V91+V93</f>
        <v>0</v>
      </c>
      <c r="W90" s="57">
        <f t="shared" si="71"/>
        <v>0</v>
      </c>
      <c r="X90" s="57">
        <f t="shared" si="71"/>
        <v>596.9</v>
      </c>
      <c r="Y90" s="106">
        <f t="shared" si="71"/>
        <v>22063.8953</v>
      </c>
      <c r="Z90" s="46"/>
      <c r="AA90" s="81"/>
    </row>
    <row r="91" spans="1:27" ht="37.5">
      <c r="A91" s="56"/>
      <c r="B91" s="57" t="s">
        <v>65</v>
      </c>
      <c r="C91" s="58">
        <v>902</v>
      </c>
      <c r="D91" s="58" t="s">
        <v>48</v>
      </c>
      <c r="E91" s="58" t="s">
        <v>23</v>
      </c>
      <c r="F91" s="58" t="s">
        <v>117</v>
      </c>
      <c r="G91" s="59" t="s">
        <v>21</v>
      </c>
      <c r="H91" s="55">
        <f>H92</f>
        <v>10708.3</v>
      </c>
      <c r="I91" s="55">
        <f>I92</f>
        <v>0</v>
      </c>
      <c r="J91" s="73">
        <f>J92</f>
        <v>12996</v>
      </c>
      <c r="K91" s="55">
        <f>K92</f>
        <v>0</v>
      </c>
      <c r="L91" s="55"/>
      <c r="M91" s="55"/>
      <c r="N91" s="55"/>
      <c r="O91" s="70">
        <f t="shared" ref="O91:U91" si="72">O92</f>
        <v>15773.7</v>
      </c>
      <c r="P91" s="55">
        <f t="shared" si="72"/>
        <v>0</v>
      </c>
      <c r="Q91" s="70">
        <f t="shared" si="72"/>
        <v>0</v>
      </c>
      <c r="R91" s="70">
        <f t="shared" si="72"/>
        <v>0</v>
      </c>
      <c r="S91" s="70">
        <f t="shared" si="72"/>
        <v>0</v>
      </c>
      <c r="T91" s="76">
        <f t="shared" si="72"/>
        <v>19134.800000000003</v>
      </c>
      <c r="U91" s="57">
        <f t="shared" si="72"/>
        <v>0</v>
      </c>
      <c r="V91" s="55">
        <f t="shared" ref="V91:Y91" si="73">V92</f>
        <v>0</v>
      </c>
      <c r="W91" s="57">
        <f t="shared" si="73"/>
        <v>0</v>
      </c>
      <c r="X91" s="57">
        <f t="shared" si="73"/>
        <v>0</v>
      </c>
      <c r="Y91" s="106">
        <f t="shared" si="73"/>
        <v>21435.595300000001</v>
      </c>
      <c r="Z91" s="46"/>
      <c r="AA91" s="81"/>
    </row>
    <row r="92" spans="1:27" ht="37.5">
      <c r="A92" s="56"/>
      <c r="B92" s="57" t="s">
        <v>56</v>
      </c>
      <c r="C92" s="58">
        <v>902</v>
      </c>
      <c r="D92" s="58" t="s">
        <v>48</v>
      </c>
      <c r="E92" s="58" t="s">
        <v>23</v>
      </c>
      <c r="F92" s="58" t="s">
        <v>117</v>
      </c>
      <c r="G92" s="59" t="s">
        <v>67</v>
      </c>
      <c r="H92" s="55">
        <f>11822.9-1058.9-55.7</f>
        <v>10708.3</v>
      </c>
      <c r="I92" s="55"/>
      <c r="J92" s="73">
        <f>13744.7-748.7</f>
        <v>12996</v>
      </c>
      <c r="K92" s="70"/>
      <c r="L92" s="70"/>
      <c r="M92" s="70"/>
      <c r="N92" s="70"/>
      <c r="O92" s="70">
        <f>16403.5-629.8</f>
        <v>15773.7</v>
      </c>
      <c r="P92" s="55">
        <v>0</v>
      </c>
      <c r="Q92" s="73"/>
      <c r="R92" s="73"/>
      <c r="S92" s="73"/>
      <c r="T92" s="77">
        <f>19765.2-628.3-0.6-1.5</f>
        <v>19134.800000000003</v>
      </c>
      <c r="U92" s="57">
        <v>0</v>
      </c>
      <c r="V92" s="55">
        <v>0</v>
      </c>
      <c r="W92" s="57"/>
      <c r="X92" s="57"/>
      <c r="Y92" s="106">
        <v>21435.595300000001</v>
      </c>
      <c r="Z92" s="46"/>
      <c r="AA92" s="81"/>
    </row>
    <row r="93" spans="1:27" ht="37.5">
      <c r="A93" s="56"/>
      <c r="B93" s="57" t="s">
        <v>68</v>
      </c>
      <c r="C93" s="58">
        <v>902</v>
      </c>
      <c r="D93" s="58" t="s">
        <v>48</v>
      </c>
      <c r="E93" s="58" t="s">
        <v>23</v>
      </c>
      <c r="F93" s="58" t="s">
        <v>118</v>
      </c>
      <c r="G93" s="59"/>
      <c r="H93" s="55">
        <f>H94</f>
        <v>55.7</v>
      </c>
      <c r="I93" s="55">
        <f>I94</f>
        <v>1058.9000000000001</v>
      </c>
      <c r="J93" s="73">
        <f>J94</f>
        <v>39.4</v>
      </c>
      <c r="K93" s="55">
        <f>K94</f>
        <v>748.7</v>
      </c>
      <c r="L93" s="55"/>
      <c r="M93" s="55"/>
      <c r="N93" s="55"/>
      <c r="O93" s="70">
        <f t="shared" ref="O93:U93" si="74">O94</f>
        <v>63</v>
      </c>
      <c r="P93" s="55">
        <f t="shared" si="74"/>
        <v>1196.5999999999999</v>
      </c>
      <c r="Q93" s="70">
        <f t="shared" si="74"/>
        <v>0</v>
      </c>
      <c r="R93" s="70">
        <f t="shared" si="74"/>
        <v>0</v>
      </c>
      <c r="S93" s="70">
        <f t="shared" si="74"/>
        <v>0</v>
      </c>
      <c r="T93" s="76">
        <f t="shared" si="74"/>
        <v>31.4</v>
      </c>
      <c r="U93" s="57">
        <f t="shared" si="74"/>
        <v>0</v>
      </c>
      <c r="V93" s="57">
        <f t="shared" ref="V93:Y93" si="75">V94</f>
        <v>0</v>
      </c>
      <c r="W93" s="57">
        <f t="shared" si="75"/>
        <v>0</v>
      </c>
      <c r="X93" s="57">
        <f t="shared" si="75"/>
        <v>596.9</v>
      </c>
      <c r="Y93" s="106">
        <f t="shared" si="75"/>
        <v>628.29999999999995</v>
      </c>
      <c r="Z93" s="46"/>
      <c r="AA93" s="81"/>
    </row>
    <row r="94" spans="1:27" ht="37.5">
      <c r="A94" s="56"/>
      <c r="B94" s="57" t="s">
        <v>56</v>
      </c>
      <c r="C94" s="58">
        <v>902</v>
      </c>
      <c r="D94" s="58" t="s">
        <v>48</v>
      </c>
      <c r="E94" s="58" t="s">
        <v>23</v>
      </c>
      <c r="F94" s="58" t="s">
        <v>118</v>
      </c>
      <c r="G94" s="59" t="s">
        <v>67</v>
      </c>
      <c r="H94" s="55">
        <v>55.7</v>
      </c>
      <c r="I94" s="55">
        <v>1058.9000000000001</v>
      </c>
      <c r="J94" s="73">
        <v>39.4</v>
      </c>
      <c r="K94" s="70">
        <v>748.7</v>
      </c>
      <c r="L94" s="70"/>
      <c r="M94" s="70"/>
      <c r="N94" s="70"/>
      <c r="O94" s="70">
        <f>31.5+31.5</f>
        <v>63</v>
      </c>
      <c r="P94" s="55">
        <f>598.3+598.3</f>
        <v>1196.5999999999999</v>
      </c>
      <c r="Q94" s="73"/>
      <c r="R94" s="73"/>
      <c r="S94" s="73"/>
      <c r="T94" s="77">
        <v>31.4</v>
      </c>
      <c r="U94" s="57"/>
      <c r="V94" s="57"/>
      <c r="W94" s="57"/>
      <c r="X94" s="57">
        <v>596.9</v>
      </c>
      <c r="Y94" s="106">
        <f>T94+U94+V94+W94+X94</f>
        <v>628.29999999999995</v>
      </c>
      <c r="Z94" s="46"/>
      <c r="AA94" s="81"/>
    </row>
    <row r="95" spans="1:27" ht="61.5" customHeight="1">
      <c r="A95" s="56"/>
      <c r="B95" s="57" t="s">
        <v>72</v>
      </c>
      <c r="C95" s="58">
        <v>902</v>
      </c>
      <c r="D95" s="58" t="s">
        <v>48</v>
      </c>
      <c r="E95" s="58" t="s">
        <v>23</v>
      </c>
      <c r="F95" s="58" t="s">
        <v>119</v>
      </c>
      <c r="G95" s="59"/>
      <c r="H95" s="55">
        <f t="shared" ref="H95:K96" si="76">H96</f>
        <v>0</v>
      </c>
      <c r="I95" s="55">
        <f t="shared" si="76"/>
        <v>601.9</v>
      </c>
      <c r="J95" s="73">
        <f t="shared" si="76"/>
        <v>0</v>
      </c>
      <c r="K95" s="55">
        <f t="shared" si="76"/>
        <v>621.9</v>
      </c>
      <c r="L95" s="55"/>
      <c r="M95" s="55"/>
      <c r="N95" s="55"/>
      <c r="O95" s="70">
        <f>O96</f>
        <v>0</v>
      </c>
      <c r="P95" s="55">
        <f t="shared" ref="P95:T96" si="77">P96</f>
        <v>729.8</v>
      </c>
      <c r="Q95" s="70">
        <f t="shared" si="77"/>
        <v>0</v>
      </c>
      <c r="R95" s="70">
        <f t="shared" si="77"/>
        <v>0</v>
      </c>
      <c r="S95" s="70">
        <f t="shared" si="77"/>
        <v>0</v>
      </c>
      <c r="T95" s="76">
        <f t="shared" si="77"/>
        <v>0</v>
      </c>
      <c r="U95" s="57">
        <f>U96</f>
        <v>0</v>
      </c>
      <c r="V95" s="57">
        <f t="shared" ref="V95:Y96" si="78">V96</f>
        <v>0</v>
      </c>
      <c r="W95" s="57">
        <f t="shared" si="78"/>
        <v>0</v>
      </c>
      <c r="X95" s="57">
        <f t="shared" si="78"/>
        <v>789.2</v>
      </c>
      <c r="Y95" s="106">
        <f t="shared" si="78"/>
        <v>442.96</v>
      </c>
      <c r="Z95" s="46"/>
      <c r="AA95" s="81"/>
    </row>
    <row r="96" spans="1:27" ht="22.5" customHeight="1">
      <c r="A96" s="56" t="s">
        <v>21</v>
      </c>
      <c r="B96" s="57" t="s">
        <v>74</v>
      </c>
      <c r="C96" s="58">
        <v>902</v>
      </c>
      <c r="D96" s="58" t="s">
        <v>48</v>
      </c>
      <c r="E96" s="58" t="s">
        <v>23</v>
      </c>
      <c r="F96" s="58" t="s">
        <v>120</v>
      </c>
      <c r="G96" s="59"/>
      <c r="H96" s="55">
        <f t="shared" si="76"/>
        <v>0</v>
      </c>
      <c r="I96" s="55">
        <f t="shared" si="76"/>
        <v>601.9</v>
      </c>
      <c r="J96" s="73">
        <f t="shared" si="76"/>
        <v>0</v>
      </c>
      <c r="K96" s="55">
        <f t="shared" si="76"/>
        <v>621.9</v>
      </c>
      <c r="L96" s="55"/>
      <c r="M96" s="55"/>
      <c r="N96" s="55"/>
      <c r="O96" s="70">
        <f>O97</f>
        <v>0</v>
      </c>
      <c r="P96" s="55">
        <f t="shared" si="77"/>
        <v>729.8</v>
      </c>
      <c r="Q96" s="70">
        <f t="shared" si="77"/>
        <v>0</v>
      </c>
      <c r="R96" s="70">
        <f t="shared" si="77"/>
        <v>0</v>
      </c>
      <c r="S96" s="70">
        <f t="shared" si="77"/>
        <v>0</v>
      </c>
      <c r="T96" s="76">
        <f t="shared" si="77"/>
        <v>0</v>
      </c>
      <c r="U96" s="57">
        <f>U97</f>
        <v>0</v>
      </c>
      <c r="V96" s="57">
        <f t="shared" si="78"/>
        <v>0</v>
      </c>
      <c r="W96" s="57">
        <f t="shared" si="78"/>
        <v>0</v>
      </c>
      <c r="X96" s="57">
        <f t="shared" si="78"/>
        <v>789.2</v>
      </c>
      <c r="Y96" s="106">
        <f t="shared" si="78"/>
        <v>442.96</v>
      </c>
      <c r="Z96" s="46"/>
      <c r="AA96" s="81"/>
    </row>
    <row r="97" spans="1:27" ht="39" customHeight="1">
      <c r="A97" s="56" t="s">
        <v>21</v>
      </c>
      <c r="B97" s="57" t="s">
        <v>56</v>
      </c>
      <c r="C97" s="58">
        <v>902</v>
      </c>
      <c r="D97" s="58" t="s">
        <v>48</v>
      </c>
      <c r="E97" s="58" t="s">
        <v>23</v>
      </c>
      <c r="F97" s="58" t="s">
        <v>120</v>
      </c>
      <c r="G97" s="59">
        <v>600</v>
      </c>
      <c r="H97" s="55"/>
      <c r="I97" s="55">
        <v>601.9</v>
      </c>
      <c r="J97" s="73"/>
      <c r="K97" s="70">
        <v>621.9</v>
      </c>
      <c r="L97" s="70"/>
      <c r="M97" s="70"/>
      <c r="N97" s="70"/>
      <c r="O97" s="70"/>
      <c r="P97" s="55">
        <v>729.8</v>
      </c>
      <c r="Q97" s="73"/>
      <c r="R97" s="73"/>
      <c r="S97" s="73"/>
      <c r="T97" s="77"/>
      <c r="U97" s="57"/>
      <c r="V97" s="57"/>
      <c r="W97" s="57"/>
      <c r="X97" s="57">
        <v>789.2</v>
      </c>
      <c r="Y97" s="106">
        <v>442.96</v>
      </c>
      <c r="Z97" s="46"/>
      <c r="AA97" s="81"/>
    </row>
    <row r="98" spans="1:27" ht="23.1" customHeight="1">
      <c r="A98" s="56"/>
      <c r="B98" s="57" t="s">
        <v>121</v>
      </c>
      <c r="C98" s="58">
        <v>902</v>
      </c>
      <c r="D98" s="58" t="s">
        <v>48</v>
      </c>
      <c r="E98" s="58" t="s">
        <v>23</v>
      </c>
      <c r="F98" s="58" t="s">
        <v>122</v>
      </c>
      <c r="G98" s="59"/>
      <c r="H98" s="55"/>
      <c r="I98" s="55"/>
      <c r="J98" s="73"/>
      <c r="K98" s="70"/>
      <c r="L98" s="70"/>
      <c r="M98" s="70"/>
      <c r="N98" s="70"/>
      <c r="O98" s="70"/>
      <c r="P98" s="55"/>
      <c r="Q98" s="73"/>
      <c r="R98" s="73"/>
      <c r="S98" s="73"/>
      <c r="T98" s="77">
        <f t="shared" ref="T98:Y98" si="79">T99+T101+T103</f>
        <v>281.5</v>
      </c>
      <c r="U98" s="57">
        <f t="shared" si="79"/>
        <v>0</v>
      </c>
      <c r="V98" s="57">
        <f t="shared" si="79"/>
        <v>0</v>
      </c>
      <c r="W98" s="57">
        <f t="shared" si="79"/>
        <v>0</v>
      </c>
      <c r="X98" s="77">
        <f t="shared" si="79"/>
        <v>141.1</v>
      </c>
      <c r="Y98" s="106">
        <f t="shared" si="79"/>
        <v>422.6</v>
      </c>
      <c r="Z98" s="46"/>
      <c r="AA98" s="81"/>
    </row>
    <row r="99" spans="1:27" ht="37.5">
      <c r="A99" s="56"/>
      <c r="B99" s="57" t="s">
        <v>123</v>
      </c>
      <c r="C99" s="58">
        <v>902</v>
      </c>
      <c r="D99" s="58" t="s">
        <v>48</v>
      </c>
      <c r="E99" s="58" t="s">
        <v>23</v>
      </c>
      <c r="F99" s="58" t="s">
        <v>124</v>
      </c>
      <c r="G99" s="59"/>
      <c r="H99" s="55">
        <f>H100</f>
        <v>1500</v>
      </c>
      <c r="I99" s="55">
        <f>I100</f>
        <v>0</v>
      </c>
      <c r="J99" s="73">
        <f>J100</f>
        <v>2176.04</v>
      </c>
      <c r="K99" s="55">
        <f>K100</f>
        <v>0</v>
      </c>
      <c r="L99" s="55"/>
      <c r="M99" s="55"/>
      <c r="N99" s="55"/>
      <c r="O99" s="70">
        <f t="shared" ref="O99:Y99" si="80">O100</f>
        <v>0</v>
      </c>
      <c r="P99" s="55">
        <f t="shared" si="80"/>
        <v>0</v>
      </c>
      <c r="Q99" s="70">
        <f t="shared" si="80"/>
        <v>0</v>
      </c>
      <c r="R99" s="70">
        <f t="shared" si="80"/>
        <v>0</v>
      </c>
      <c r="S99" s="70">
        <f t="shared" si="80"/>
        <v>0</v>
      </c>
      <c r="T99" s="76">
        <f t="shared" si="80"/>
        <v>280</v>
      </c>
      <c r="U99" s="57">
        <f t="shared" si="80"/>
        <v>0</v>
      </c>
      <c r="V99" s="57">
        <f t="shared" si="80"/>
        <v>0</v>
      </c>
      <c r="W99" s="57">
        <f t="shared" si="80"/>
        <v>0</v>
      </c>
      <c r="X99" s="76">
        <f t="shared" si="80"/>
        <v>0</v>
      </c>
      <c r="Y99" s="106">
        <f t="shared" si="80"/>
        <v>280</v>
      </c>
      <c r="Z99" s="46"/>
      <c r="AA99" s="81"/>
    </row>
    <row r="100" spans="1:27" ht="39" customHeight="1">
      <c r="A100" s="56"/>
      <c r="B100" s="57" t="s">
        <v>56</v>
      </c>
      <c r="C100" s="58">
        <v>902</v>
      </c>
      <c r="D100" s="58" t="s">
        <v>48</v>
      </c>
      <c r="E100" s="58" t="s">
        <v>23</v>
      </c>
      <c r="F100" s="58" t="s">
        <v>124</v>
      </c>
      <c r="G100" s="59">
        <v>600</v>
      </c>
      <c r="H100" s="55">
        <f>150+1350</f>
        <v>1500</v>
      </c>
      <c r="I100" s="55"/>
      <c r="J100" s="73">
        <v>2176.04</v>
      </c>
      <c r="K100" s="70"/>
      <c r="L100" s="70"/>
      <c r="M100" s="70"/>
      <c r="N100" s="70"/>
      <c r="O100" s="70"/>
      <c r="P100" s="55">
        <v>0</v>
      </c>
      <c r="Q100" s="55">
        <v>0</v>
      </c>
      <c r="R100" s="55">
        <v>0</v>
      </c>
      <c r="S100" s="73"/>
      <c r="T100" s="77">
        <v>280</v>
      </c>
      <c r="U100" s="57">
        <v>0</v>
      </c>
      <c r="V100" s="57"/>
      <c r="W100" s="57"/>
      <c r="X100" s="57"/>
      <c r="Y100" s="106">
        <f>T100+U100+V100+W100+X100</f>
        <v>280</v>
      </c>
      <c r="Z100" s="46"/>
      <c r="AA100" s="81"/>
    </row>
    <row r="101" spans="1:27" ht="22.5" hidden="1" customHeight="1">
      <c r="A101" s="56"/>
      <c r="B101" s="57" t="s">
        <v>125</v>
      </c>
      <c r="C101" s="58">
        <v>902</v>
      </c>
      <c r="D101" s="58" t="s">
        <v>48</v>
      </c>
      <c r="E101" s="58" t="s">
        <v>23</v>
      </c>
      <c r="F101" s="58" t="s">
        <v>126</v>
      </c>
      <c r="G101" s="59"/>
      <c r="H101" s="55"/>
      <c r="I101" s="55"/>
      <c r="J101" s="73"/>
      <c r="K101" s="70">
        <f>K102</f>
        <v>173.3</v>
      </c>
      <c r="L101" s="70"/>
      <c r="M101" s="70"/>
      <c r="N101" s="70"/>
      <c r="O101" s="70">
        <f t="shared" ref="O101:X101" si="81">O102</f>
        <v>0</v>
      </c>
      <c r="P101" s="55">
        <f t="shared" si="81"/>
        <v>0</v>
      </c>
      <c r="Q101" s="70">
        <f t="shared" si="81"/>
        <v>0</v>
      </c>
      <c r="R101" s="70">
        <f t="shared" si="81"/>
        <v>0</v>
      </c>
      <c r="S101" s="70">
        <f t="shared" si="81"/>
        <v>0</v>
      </c>
      <c r="T101" s="76">
        <f t="shared" si="81"/>
        <v>0</v>
      </c>
      <c r="U101" s="57">
        <f t="shared" si="81"/>
        <v>0</v>
      </c>
      <c r="V101" s="57">
        <f t="shared" si="81"/>
        <v>0</v>
      </c>
      <c r="W101" s="57">
        <f t="shared" si="81"/>
        <v>0</v>
      </c>
      <c r="X101" s="76">
        <f t="shared" si="81"/>
        <v>0</v>
      </c>
      <c r="Y101" s="106">
        <f>T101+U101+V101+W101+X101</f>
        <v>0</v>
      </c>
      <c r="Z101" s="46"/>
      <c r="AA101" s="81"/>
    </row>
    <row r="102" spans="1:27" ht="37.5" hidden="1">
      <c r="A102" s="56"/>
      <c r="B102" s="57" t="s">
        <v>56</v>
      </c>
      <c r="C102" s="58">
        <v>902</v>
      </c>
      <c r="D102" s="58" t="s">
        <v>48</v>
      </c>
      <c r="E102" s="58" t="s">
        <v>23</v>
      </c>
      <c r="F102" s="58" t="s">
        <v>126</v>
      </c>
      <c r="G102" s="59">
        <v>600</v>
      </c>
      <c r="H102" s="55"/>
      <c r="I102" s="55"/>
      <c r="J102" s="73"/>
      <c r="K102" s="70">
        <v>173.3</v>
      </c>
      <c r="L102" s="70"/>
      <c r="M102" s="70"/>
      <c r="N102" s="70"/>
      <c r="O102" s="70"/>
      <c r="P102" s="55">
        <v>0</v>
      </c>
      <c r="Q102" s="55">
        <v>0</v>
      </c>
      <c r="R102" s="73"/>
      <c r="S102" s="73"/>
      <c r="T102" s="77">
        <f>O102+P102+Q102+R102+S102</f>
        <v>0</v>
      </c>
      <c r="U102" s="57"/>
      <c r="V102" s="57"/>
      <c r="W102" s="57"/>
      <c r="X102" s="57"/>
      <c r="Y102" s="106">
        <f>T102+U102+V102+W102+X102</f>
        <v>0</v>
      </c>
      <c r="Z102" s="46"/>
      <c r="AA102" s="81"/>
    </row>
    <row r="103" spans="1:27" ht="59.25" customHeight="1">
      <c r="A103" s="56"/>
      <c r="B103" s="57" t="s">
        <v>127</v>
      </c>
      <c r="C103" s="58">
        <v>902</v>
      </c>
      <c r="D103" s="58" t="s">
        <v>48</v>
      </c>
      <c r="E103" s="58" t="s">
        <v>23</v>
      </c>
      <c r="F103" s="58" t="s">
        <v>128</v>
      </c>
      <c r="G103" s="59"/>
      <c r="H103" s="55"/>
      <c r="I103" s="55"/>
      <c r="J103" s="73"/>
      <c r="K103" s="70"/>
      <c r="L103" s="70"/>
      <c r="M103" s="70"/>
      <c r="N103" s="70"/>
      <c r="O103" s="70">
        <f>O104</f>
        <v>1.6</v>
      </c>
      <c r="P103" s="55">
        <f>P104</f>
        <v>157.30000000000001</v>
      </c>
      <c r="Q103" s="55"/>
      <c r="R103" s="73"/>
      <c r="S103" s="73"/>
      <c r="T103" s="77">
        <f>T104</f>
        <v>1.5</v>
      </c>
      <c r="U103" s="57">
        <f>U104</f>
        <v>0</v>
      </c>
      <c r="V103" s="57">
        <f t="shared" ref="V103:Y103" si="82">V104</f>
        <v>0</v>
      </c>
      <c r="W103" s="57">
        <f t="shared" si="82"/>
        <v>0</v>
      </c>
      <c r="X103" s="57">
        <f t="shared" si="82"/>
        <v>141.1</v>
      </c>
      <c r="Y103" s="106">
        <f t="shared" si="82"/>
        <v>142.6</v>
      </c>
      <c r="Z103" s="46"/>
      <c r="AA103" s="81"/>
    </row>
    <row r="104" spans="1:27" ht="39" customHeight="1">
      <c r="A104" s="56"/>
      <c r="B104" s="57" t="s">
        <v>56</v>
      </c>
      <c r="C104" s="58">
        <v>902</v>
      </c>
      <c r="D104" s="58" t="s">
        <v>48</v>
      </c>
      <c r="E104" s="58" t="s">
        <v>23</v>
      </c>
      <c r="F104" s="58" t="s">
        <v>128</v>
      </c>
      <c r="G104" s="59">
        <v>600</v>
      </c>
      <c r="H104" s="55"/>
      <c r="I104" s="55"/>
      <c r="J104" s="73"/>
      <c r="K104" s="70"/>
      <c r="L104" s="70"/>
      <c r="M104" s="70"/>
      <c r="N104" s="70"/>
      <c r="O104" s="70">
        <v>1.6</v>
      </c>
      <c r="P104" s="55">
        <v>157.30000000000001</v>
      </c>
      <c r="Q104" s="55"/>
      <c r="R104" s="73"/>
      <c r="S104" s="73"/>
      <c r="T104" s="77">
        <v>1.5</v>
      </c>
      <c r="U104" s="57"/>
      <c r="V104" s="57"/>
      <c r="W104" s="57"/>
      <c r="X104" s="57">
        <v>141.1</v>
      </c>
      <c r="Y104" s="106">
        <f>T104+U104+V104+W104+X104</f>
        <v>142.6</v>
      </c>
      <c r="Z104" s="46"/>
      <c r="AA104" s="81"/>
    </row>
    <row r="105" spans="1:27" ht="21.75" customHeight="1">
      <c r="A105" s="56"/>
      <c r="B105" s="57" t="s">
        <v>85</v>
      </c>
      <c r="C105" s="58">
        <v>902</v>
      </c>
      <c r="D105" s="58" t="s">
        <v>48</v>
      </c>
      <c r="E105" s="58" t="s">
        <v>23</v>
      </c>
      <c r="F105" s="58" t="s">
        <v>129</v>
      </c>
      <c r="G105" s="59"/>
      <c r="H105" s="55"/>
      <c r="I105" s="55"/>
      <c r="J105" s="73"/>
      <c r="K105" s="70"/>
      <c r="L105" s="70"/>
      <c r="M105" s="70"/>
      <c r="N105" s="70"/>
      <c r="O105" s="70"/>
      <c r="P105" s="55"/>
      <c r="Q105" s="55"/>
      <c r="R105" s="73"/>
      <c r="S105" s="73"/>
      <c r="T105" s="77">
        <f t="shared" ref="T105:Y105" si="83">T106</f>
        <v>0.6</v>
      </c>
      <c r="U105" s="57">
        <f t="shared" si="83"/>
        <v>0</v>
      </c>
      <c r="V105" s="57">
        <f t="shared" si="83"/>
        <v>0</v>
      </c>
      <c r="W105" s="57">
        <f t="shared" si="83"/>
        <v>0</v>
      </c>
      <c r="X105" s="77">
        <f t="shared" si="83"/>
        <v>50.6</v>
      </c>
      <c r="Y105" s="106">
        <f t="shared" si="83"/>
        <v>51.2</v>
      </c>
      <c r="Z105" s="46"/>
      <c r="AA105" s="81"/>
    </row>
    <row r="106" spans="1:27" ht="37.5">
      <c r="A106" s="56"/>
      <c r="B106" s="57" t="s">
        <v>87</v>
      </c>
      <c r="C106" s="58">
        <v>902</v>
      </c>
      <c r="D106" s="58" t="s">
        <v>48</v>
      </c>
      <c r="E106" s="58" t="s">
        <v>23</v>
      </c>
      <c r="F106" s="58" t="s">
        <v>130</v>
      </c>
      <c r="G106" s="59"/>
      <c r="H106" s="55"/>
      <c r="I106" s="55"/>
      <c r="J106" s="73"/>
      <c r="K106" s="70"/>
      <c r="L106" s="70"/>
      <c r="M106" s="70"/>
      <c r="N106" s="70"/>
      <c r="O106" s="70">
        <f>O107</f>
        <v>0.6</v>
      </c>
      <c r="P106" s="55">
        <f>P107</f>
        <v>50.6</v>
      </c>
      <c r="Q106" s="55"/>
      <c r="R106" s="73"/>
      <c r="S106" s="73"/>
      <c r="T106" s="77">
        <f>T107</f>
        <v>0.6</v>
      </c>
      <c r="U106" s="57">
        <f>U107</f>
        <v>0</v>
      </c>
      <c r="V106" s="57">
        <f t="shared" ref="V106:Y106" si="84">V107</f>
        <v>0</v>
      </c>
      <c r="W106" s="57">
        <f t="shared" si="84"/>
        <v>0</v>
      </c>
      <c r="X106" s="57">
        <f t="shared" si="84"/>
        <v>50.6</v>
      </c>
      <c r="Y106" s="106">
        <f t="shared" si="84"/>
        <v>51.2</v>
      </c>
      <c r="Z106" s="46"/>
      <c r="AA106" s="81"/>
    </row>
    <row r="107" spans="1:27" ht="36.75" customHeight="1">
      <c r="A107" s="56"/>
      <c r="B107" s="57" t="s">
        <v>56</v>
      </c>
      <c r="C107" s="58">
        <v>902</v>
      </c>
      <c r="D107" s="58" t="s">
        <v>48</v>
      </c>
      <c r="E107" s="58" t="s">
        <v>23</v>
      </c>
      <c r="F107" s="58" t="s">
        <v>130</v>
      </c>
      <c r="G107" s="59">
        <v>600</v>
      </c>
      <c r="H107" s="55"/>
      <c r="I107" s="55"/>
      <c r="J107" s="73"/>
      <c r="K107" s="70"/>
      <c r="L107" s="70"/>
      <c r="M107" s="70"/>
      <c r="N107" s="70"/>
      <c r="O107" s="70">
        <v>0.6</v>
      </c>
      <c r="P107" s="55">
        <v>50.6</v>
      </c>
      <c r="Q107" s="55"/>
      <c r="R107" s="73"/>
      <c r="S107" s="73"/>
      <c r="T107" s="77">
        <v>0.6</v>
      </c>
      <c r="U107" s="57"/>
      <c r="V107" s="57"/>
      <c r="W107" s="57"/>
      <c r="X107" s="57">
        <v>50.6</v>
      </c>
      <c r="Y107" s="106">
        <f>T107+U107+V107+W107+X107</f>
        <v>51.2</v>
      </c>
      <c r="Z107" s="46"/>
      <c r="AA107" s="81"/>
    </row>
    <row r="108" spans="1:27" ht="18.75" hidden="1" customHeight="1">
      <c r="A108" s="56"/>
      <c r="B108" s="62" t="s">
        <v>131</v>
      </c>
      <c r="C108" s="58">
        <v>902</v>
      </c>
      <c r="D108" s="83" t="s">
        <v>48</v>
      </c>
      <c r="E108" s="83" t="s">
        <v>23</v>
      </c>
      <c r="F108" s="58" t="s">
        <v>132</v>
      </c>
      <c r="G108" s="59" t="s">
        <v>21</v>
      </c>
      <c r="H108" s="55">
        <f t="shared" ref="H108:K109" si="85">H109</f>
        <v>339.2</v>
      </c>
      <c r="I108" s="55">
        <f t="shared" si="85"/>
        <v>0</v>
      </c>
      <c r="J108" s="73">
        <f t="shared" si="85"/>
        <v>15.4</v>
      </c>
      <c r="K108" s="55">
        <f t="shared" si="85"/>
        <v>0</v>
      </c>
      <c r="L108" s="55"/>
      <c r="M108" s="55"/>
      <c r="N108" s="55"/>
      <c r="O108" s="70">
        <f>O109</f>
        <v>0</v>
      </c>
      <c r="P108" s="55">
        <f t="shared" ref="P108:Y109" si="86">P109</f>
        <v>0</v>
      </c>
      <c r="Q108" s="70">
        <f t="shared" si="86"/>
        <v>0</v>
      </c>
      <c r="R108" s="70">
        <f t="shared" si="86"/>
        <v>0</v>
      </c>
      <c r="S108" s="70">
        <f t="shared" si="86"/>
        <v>0</v>
      </c>
      <c r="T108" s="76">
        <f t="shared" si="86"/>
        <v>0</v>
      </c>
      <c r="U108" s="70">
        <f t="shared" si="86"/>
        <v>0</v>
      </c>
      <c r="V108" s="70">
        <f t="shared" si="86"/>
        <v>0</v>
      </c>
      <c r="W108" s="70">
        <f t="shared" si="86"/>
        <v>0</v>
      </c>
      <c r="X108" s="70">
        <f t="shared" si="86"/>
        <v>0</v>
      </c>
      <c r="Y108" s="106">
        <f t="shared" si="86"/>
        <v>0</v>
      </c>
      <c r="Z108" s="46"/>
      <c r="AA108" s="81"/>
    </row>
    <row r="109" spans="1:27" ht="37.5" hidden="1">
      <c r="A109" s="56"/>
      <c r="B109" s="57" t="s">
        <v>133</v>
      </c>
      <c r="C109" s="58">
        <v>902</v>
      </c>
      <c r="D109" s="83" t="s">
        <v>48</v>
      </c>
      <c r="E109" s="83" t="s">
        <v>23</v>
      </c>
      <c r="F109" s="58" t="s">
        <v>134</v>
      </c>
      <c r="G109" s="59" t="s">
        <v>21</v>
      </c>
      <c r="H109" s="55">
        <f t="shared" si="85"/>
        <v>339.2</v>
      </c>
      <c r="I109" s="55">
        <f t="shared" si="85"/>
        <v>0</v>
      </c>
      <c r="J109" s="73">
        <f t="shared" si="85"/>
        <v>15.4</v>
      </c>
      <c r="K109" s="55">
        <f t="shared" si="85"/>
        <v>0</v>
      </c>
      <c r="L109" s="55"/>
      <c r="M109" s="55"/>
      <c r="N109" s="55"/>
      <c r="O109" s="70">
        <f>O110</f>
        <v>0</v>
      </c>
      <c r="P109" s="55">
        <f t="shared" si="86"/>
        <v>0</v>
      </c>
      <c r="Q109" s="70">
        <f t="shared" si="86"/>
        <v>0</v>
      </c>
      <c r="R109" s="70">
        <f t="shared" si="86"/>
        <v>0</v>
      </c>
      <c r="S109" s="70">
        <f t="shared" si="86"/>
        <v>0</v>
      </c>
      <c r="T109" s="76">
        <f t="shared" si="86"/>
        <v>0</v>
      </c>
      <c r="U109" s="70">
        <f t="shared" si="86"/>
        <v>0</v>
      </c>
      <c r="V109" s="70">
        <f t="shared" si="86"/>
        <v>0</v>
      </c>
      <c r="W109" s="70">
        <f t="shared" si="86"/>
        <v>0</v>
      </c>
      <c r="X109" s="70">
        <f t="shared" si="86"/>
        <v>0</v>
      </c>
      <c r="Y109" s="106">
        <f t="shared" si="86"/>
        <v>0</v>
      </c>
      <c r="Z109" s="46"/>
      <c r="AA109" s="81"/>
    </row>
    <row r="110" spans="1:27" ht="37.5" hidden="1">
      <c r="A110" s="56"/>
      <c r="B110" s="57" t="s">
        <v>56</v>
      </c>
      <c r="C110" s="58">
        <v>902</v>
      </c>
      <c r="D110" s="83" t="s">
        <v>48</v>
      </c>
      <c r="E110" s="83" t="s">
        <v>23</v>
      </c>
      <c r="F110" s="58" t="s">
        <v>134</v>
      </c>
      <c r="G110" s="59" t="s">
        <v>67</v>
      </c>
      <c r="H110" s="55">
        <f>117.8+221.4</f>
        <v>339.2</v>
      </c>
      <c r="I110" s="55"/>
      <c r="J110" s="73">
        <f>9.3+6.1</f>
        <v>15.4</v>
      </c>
      <c r="K110" s="70"/>
      <c r="L110" s="70"/>
      <c r="M110" s="70"/>
      <c r="N110" s="70"/>
      <c r="O110" s="70"/>
      <c r="P110" s="55"/>
      <c r="Q110" s="73"/>
      <c r="R110" s="73"/>
      <c r="S110" s="73"/>
      <c r="T110" s="77"/>
      <c r="U110" s="55">
        <v>0</v>
      </c>
      <c r="V110" s="57"/>
      <c r="W110" s="57"/>
      <c r="X110" s="57"/>
      <c r="Y110" s="106">
        <f>T110+U110+V110+W110+X110</f>
        <v>0</v>
      </c>
      <c r="Z110" s="46"/>
      <c r="AA110" s="81"/>
    </row>
    <row r="111" spans="1:27" ht="37.5">
      <c r="A111" s="56"/>
      <c r="B111" s="57" t="s">
        <v>135</v>
      </c>
      <c r="C111" s="58">
        <v>902</v>
      </c>
      <c r="D111" s="83" t="s">
        <v>48</v>
      </c>
      <c r="E111" s="83" t="s">
        <v>23</v>
      </c>
      <c r="F111" s="58" t="s">
        <v>136</v>
      </c>
      <c r="G111" s="59"/>
      <c r="H111" s="55">
        <f t="shared" ref="H111:K112" si="87">H112</f>
        <v>10</v>
      </c>
      <c r="I111" s="55">
        <f t="shared" si="87"/>
        <v>0</v>
      </c>
      <c r="J111" s="73">
        <f t="shared" si="87"/>
        <v>10</v>
      </c>
      <c r="K111" s="55">
        <f t="shared" si="87"/>
        <v>0</v>
      </c>
      <c r="L111" s="55"/>
      <c r="M111" s="55"/>
      <c r="N111" s="55"/>
      <c r="O111" s="70">
        <f>O112</f>
        <v>0</v>
      </c>
      <c r="P111" s="55">
        <f t="shared" ref="P111:Y112" si="88">P112</f>
        <v>0</v>
      </c>
      <c r="Q111" s="70">
        <f t="shared" si="88"/>
        <v>0</v>
      </c>
      <c r="R111" s="70">
        <f t="shared" si="88"/>
        <v>0</v>
      </c>
      <c r="S111" s="70">
        <f t="shared" si="88"/>
        <v>0</v>
      </c>
      <c r="T111" s="76">
        <f t="shared" si="88"/>
        <v>0</v>
      </c>
      <c r="U111" s="70">
        <f t="shared" si="88"/>
        <v>0</v>
      </c>
      <c r="V111" s="70">
        <f t="shared" si="88"/>
        <v>0</v>
      </c>
      <c r="W111" s="70">
        <f t="shared" si="88"/>
        <v>0</v>
      </c>
      <c r="X111" s="70">
        <f t="shared" si="88"/>
        <v>0</v>
      </c>
      <c r="Y111" s="106">
        <f t="shared" si="88"/>
        <v>50</v>
      </c>
      <c r="Z111" s="46"/>
      <c r="AA111" s="81"/>
    </row>
    <row r="112" spans="1:27">
      <c r="A112" s="56"/>
      <c r="B112" s="57" t="s">
        <v>137</v>
      </c>
      <c r="C112" s="58">
        <v>902</v>
      </c>
      <c r="D112" s="83" t="s">
        <v>48</v>
      </c>
      <c r="E112" s="83" t="s">
        <v>23</v>
      </c>
      <c r="F112" s="58" t="s">
        <v>138</v>
      </c>
      <c r="G112" s="59"/>
      <c r="H112" s="55">
        <f t="shared" si="87"/>
        <v>10</v>
      </c>
      <c r="I112" s="55">
        <f t="shared" si="87"/>
        <v>0</v>
      </c>
      <c r="J112" s="73">
        <f t="shared" si="87"/>
        <v>10</v>
      </c>
      <c r="K112" s="55">
        <f t="shared" si="87"/>
        <v>0</v>
      </c>
      <c r="L112" s="55"/>
      <c r="M112" s="55"/>
      <c r="N112" s="55"/>
      <c r="O112" s="70">
        <f>O113</f>
        <v>0</v>
      </c>
      <c r="P112" s="55">
        <f t="shared" si="88"/>
        <v>0</v>
      </c>
      <c r="Q112" s="70">
        <f t="shared" si="88"/>
        <v>0</v>
      </c>
      <c r="R112" s="70">
        <f t="shared" si="88"/>
        <v>0</v>
      </c>
      <c r="S112" s="70">
        <f t="shared" si="88"/>
        <v>0</v>
      </c>
      <c r="T112" s="76">
        <f t="shared" si="88"/>
        <v>0</v>
      </c>
      <c r="U112" s="70">
        <f t="shared" si="88"/>
        <v>0</v>
      </c>
      <c r="V112" s="70">
        <f t="shared" si="88"/>
        <v>0</v>
      </c>
      <c r="W112" s="70">
        <f t="shared" si="88"/>
        <v>0</v>
      </c>
      <c r="X112" s="70">
        <f t="shared" si="88"/>
        <v>0</v>
      </c>
      <c r="Y112" s="106">
        <f t="shared" si="88"/>
        <v>50</v>
      </c>
      <c r="Z112" s="46"/>
      <c r="AA112" s="81"/>
    </row>
    <row r="113" spans="1:27" ht="37.5">
      <c r="A113" s="56"/>
      <c r="B113" s="57" t="s">
        <v>56</v>
      </c>
      <c r="C113" s="58">
        <v>902</v>
      </c>
      <c r="D113" s="83" t="s">
        <v>48</v>
      </c>
      <c r="E113" s="83" t="s">
        <v>23</v>
      </c>
      <c r="F113" s="58" t="s">
        <v>138</v>
      </c>
      <c r="G113" s="59">
        <v>600</v>
      </c>
      <c r="H113" s="55">
        <v>10</v>
      </c>
      <c r="I113" s="55"/>
      <c r="J113" s="73">
        <v>10</v>
      </c>
      <c r="K113" s="70"/>
      <c r="L113" s="70"/>
      <c r="M113" s="70"/>
      <c r="N113" s="70"/>
      <c r="O113" s="70"/>
      <c r="P113" s="55"/>
      <c r="Q113" s="73"/>
      <c r="R113" s="73"/>
      <c r="S113" s="73"/>
      <c r="T113" s="77"/>
      <c r="U113" s="55">
        <v>0</v>
      </c>
      <c r="V113" s="57"/>
      <c r="W113" s="57"/>
      <c r="X113" s="57"/>
      <c r="Y113" s="106">
        <v>50</v>
      </c>
      <c r="Z113" s="46"/>
      <c r="AA113" s="81"/>
    </row>
    <row r="114" spans="1:27">
      <c r="A114" s="56" t="s">
        <v>21</v>
      </c>
      <c r="B114" s="57" t="s">
        <v>139</v>
      </c>
      <c r="C114" s="58">
        <v>902</v>
      </c>
      <c r="D114" s="58" t="s">
        <v>48</v>
      </c>
      <c r="E114" s="58" t="s">
        <v>140</v>
      </c>
      <c r="F114" s="58" t="s">
        <v>21</v>
      </c>
      <c r="G114" s="59" t="s">
        <v>21</v>
      </c>
      <c r="H114" s="55">
        <f t="shared" ref="H114:J115" si="89">H115</f>
        <v>20404.5</v>
      </c>
      <c r="I114" s="55">
        <f t="shared" si="89"/>
        <v>0</v>
      </c>
      <c r="J114" s="73">
        <f t="shared" si="89"/>
        <v>22599.420000000002</v>
      </c>
      <c r="K114" s="65">
        <f>K115+K122</f>
        <v>0</v>
      </c>
      <c r="L114" s="55"/>
      <c r="M114" s="55"/>
      <c r="N114" s="65"/>
      <c r="O114" s="70">
        <f t="shared" ref="O114:S114" si="90">O115+O122</f>
        <v>27128.720000000001</v>
      </c>
      <c r="P114" s="55">
        <f t="shared" si="90"/>
        <v>0</v>
      </c>
      <c r="Q114" s="70">
        <f t="shared" si="90"/>
        <v>0</v>
      </c>
      <c r="R114" s="70">
        <f t="shared" si="90"/>
        <v>0</v>
      </c>
      <c r="S114" s="70">
        <f t="shared" si="90"/>
        <v>0</v>
      </c>
      <c r="T114" s="76">
        <f t="shared" ref="T114:Y114" si="91">T115+T122</f>
        <v>33451.599999999999</v>
      </c>
      <c r="U114" s="55">
        <f t="shared" si="91"/>
        <v>0</v>
      </c>
      <c r="V114" s="57">
        <f t="shared" si="91"/>
        <v>0</v>
      </c>
      <c r="W114" s="57">
        <f t="shared" si="91"/>
        <v>0</v>
      </c>
      <c r="X114" s="57">
        <f t="shared" si="91"/>
        <v>9994.6</v>
      </c>
      <c r="Y114" s="106">
        <f t="shared" si="91"/>
        <v>46330.441650000001</v>
      </c>
      <c r="Z114" s="46"/>
      <c r="AA114" s="81"/>
    </row>
    <row r="115" spans="1:27" ht="29.25" customHeight="1">
      <c r="A115" s="56"/>
      <c r="B115" s="62" t="s">
        <v>141</v>
      </c>
      <c r="C115" s="58">
        <v>902</v>
      </c>
      <c r="D115" s="58" t="s">
        <v>48</v>
      </c>
      <c r="E115" s="58" t="s">
        <v>140</v>
      </c>
      <c r="F115" s="58" t="s">
        <v>51</v>
      </c>
      <c r="G115" s="59" t="s">
        <v>21</v>
      </c>
      <c r="H115" s="55">
        <f t="shared" si="89"/>
        <v>20404.5</v>
      </c>
      <c r="I115" s="55">
        <f t="shared" si="89"/>
        <v>0</v>
      </c>
      <c r="J115" s="73">
        <f t="shared" si="89"/>
        <v>22599.420000000002</v>
      </c>
      <c r="K115" s="55">
        <f>K116</f>
        <v>0</v>
      </c>
      <c r="L115" s="55"/>
      <c r="M115" s="55"/>
      <c r="N115" s="55"/>
      <c r="O115" s="70">
        <f t="shared" ref="O115:U115" si="92">O116</f>
        <v>27128.720000000001</v>
      </c>
      <c r="P115" s="55">
        <f t="shared" si="92"/>
        <v>0</v>
      </c>
      <c r="Q115" s="70">
        <f t="shared" si="92"/>
        <v>0</v>
      </c>
      <c r="R115" s="70">
        <f t="shared" si="92"/>
        <v>0</v>
      </c>
      <c r="S115" s="70">
        <f t="shared" si="92"/>
        <v>0</v>
      </c>
      <c r="T115" s="76">
        <f t="shared" si="92"/>
        <v>33451.599999999999</v>
      </c>
      <c r="U115" s="55">
        <f t="shared" si="92"/>
        <v>0</v>
      </c>
      <c r="V115" s="57">
        <f t="shared" ref="V115:Y115" si="93">V116</f>
        <v>0</v>
      </c>
      <c r="W115" s="57">
        <f t="shared" si="93"/>
        <v>0</v>
      </c>
      <c r="X115" s="57">
        <f t="shared" si="93"/>
        <v>9994.6</v>
      </c>
      <c r="Y115" s="106">
        <f t="shared" si="93"/>
        <v>46265.341650000002</v>
      </c>
      <c r="Z115" s="46"/>
      <c r="AA115" s="81"/>
    </row>
    <row r="116" spans="1:27" ht="22.5" customHeight="1">
      <c r="A116" s="56" t="s">
        <v>21</v>
      </c>
      <c r="B116" s="57" t="s">
        <v>142</v>
      </c>
      <c r="C116" s="58">
        <v>902</v>
      </c>
      <c r="D116" s="58" t="s">
        <v>48</v>
      </c>
      <c r="E116" s="58" t="s">
        <v>140</v>
      </c>
      <c r="F116" s="58" t="s">
        <v>143</v>
      </c>
      <c r="G116" s="59" t="s">
        <v>21</v>
      </c>
      <c r="H116" s="55">
        <f>H117+H125+H130</f>
        <v>20404.5</v>
      </c>
      <c r="I116" s="55">
        <f>I117+I125+I130</f>
        <v>0</v>
      </c>
      <c r="J116" s="73">
        <f>J117+J125+J130</f>
        <v>22599.420000000002</v>
      </c>
      <c r="K116" s="55">
        <f>K117+K125+K130</f>
        <v>0</v>
      </c>
      <c r="L116" s="55"/>
      <c r="M116" s="55"/>
      <c r="N116" s="55"/>
      <c r="O116" s="70">
        <f t="shared" ref="O116:S116" si="94">O117+O125+O130</f>
        <v>27128.720000000001</v>
      </c>
      <c r="P116" s="55">
        <f t="shared" si="94"/>
        <v>0</v>
      </c>
      <c r="Q116" s="70">
        <f t="shared" si="94"/>
        <v>0</v>
      </c>
      <c r="R116" s="70">
        <f t="shared" si="94"/>
        <v>0</v>
      </c>
      <c r="S116" s="70">
        <f t="shared" si="94"/>
        <v>0</v>
      </c>
      <c r="T116" s="76">
        <f t="shared" ref="T116:Y116" si="95">T117+T125+T130+T137</f>
        <v>33451.599999999999</v>
      </c>
      <c r="U116" s="55">
        <f t="shared" si="95"/>
        <v>0</v>
      </c>
      <c r="V116" s="57">
        <f t="shared" si="95"/>
        <v>0</v>
      </c>
      <c r="W116" s="57">
        <f t="shared" si="95"/>
        <v>0</v>
      </c>
      <c r="X116" s="76">
        <f t="shared" si="95"/>
        <v>9994.6</v>
      </c>
      <c r="Y116" s="106">
        <f t="shared" si="95"/>
        <v>46265.341650000002</v>
      </c>
      <c r="Z116" s="46"/>
      <c r="AA116" s="81"/>
    </row>
    <row r="117" spans="1:27" ht="37.5">
      <c r="A117" s="56" t="s">
        <v>21</v>
      </c>
      <c r="B117" s="57" t="s">
        <v>144</v>
      </c>
      <c r="C117" s="58">
        <v>902</v>
      </c>
      <c r="D117" s="58" t="s">
        <v>48</v>
      </c>
      <c r="E117" s="58" t="s">
        <v>140</v>
      </c>
      <c r="F117" s="58" t="s">
        <v>145</v>
      </c>
      <c r="G117" s="59"/>
      <c r="H117" s="55">
        <f>H118</f>
        <v>1715.5</v>
      </c>
      <c r="I117" s="55">
        <f>I118</f>
        <v>0</v>
      </c>
      <c r="J117" s="73">
        <f>J118</f>
        <v>1820.9900000000002</v>
      </c>
      <c r="K117" s="55">
        <f>K118</f>
        <v>0</v>
      </c>
      <c r="L117" s="55"/>
      <c r="M117" s="55"/>
      <c r="N117" s="55"/>
      <c r="O117" s="70">
        <f t="shared" ref="O117:U117" si="96">O118</f>
        <v>2890</v>
      </c>
      <c r="P117" s="55">
        <f t="shared" si="96"/>
        <v>0</v>
      </c>
      <c r="Q117" s="70">
        <f t="shared" si="96"/>
        <v>0</v>
      </c>
      <c r="R117" s="70">
        <f t="shared" si="96"/>
        <v>0</v>
      </c>
      <c r="S117" s="70">
        <f t="shared" si="96"/>
        <v>0</v>
      </c>
      <c r="T117" s="76">
        <f t="shared" si="96"/>
        <v>2618.4</v>
      </c>
      <c r="U117" s="55">
        <f t="shared" si="96"/>
        <v>0</v>
      </c>
      <c r="V117" s="57">
        <f t="shared" ref="V117:Y117" si="97">V118</f>
        <v>0</v>
      </c>
      <c r="W117" s="57">
        <f t="shared" si="97"/>
        <v>0</v>
      </c>
      <c r="X117" s="57">
        <f t="shared" si="97"/>
        <v>0</v>
      </c>
      <c r="Y117" s="106">
        <f t="shared" si="97"/>
        <v>3310.5216499999997</v>
      </c>
      <c r="Z117" s="46"/>
      <c r="AA117" s="81"/>
    </row>
    <row r="118" spans="1:27">
      <c r="A118" s="56" t="s">
        <v>21</v>
      </c>
      <c r="B118" s="57" t="s">
        <v>146</v>
      </c>
      <c r="C118" s="58">
        <v>902</v>
      </c>
      <c r="D118" s="58" t="s">
        <v>48</v>
      </c>
      <c r="E118" s="58" t="s">
        <v>140</v>
      </c>
      <c r="F118" s="58" t="s">
        <v>147</v>
      </c>
      <c r="G118" s="59" t="s">
        <v>21</v>
      </c>
      <c r="H118" s="55">
        <f>H119+H120+H121</f>
        <v>1715.5</v>
      </c>
      <c r="I118" s="55">
        <f>I119+I120+I121</f>
        <v>0</v>
      </c>
      <c r="J118" s="73">
        <f>J119+J120+J121</f>
        <v>1820.9900000000002</v>
      </c>
      <c r="K118" s="55">
        <f>K119+K120+K121</f>
        <v>0</v>
      </c>
      <c r="L118" s="55"/>
      <c r="M118" s="55"/>
      <c r="N118" s="55"/>
      <c r="O118" s="70">
        <f t="shared" ref="O118:U118" si="98">O119+O120+O121</f>
        <v>2890</v>
      </c>
      <c r="P118" s="55">
        <f t="shared" si="98"/>
        <v>0</v>
      </c>
      <c r="Q118" s="70">
        <f t="shared" si="98"/>
        <v>0</v>
      </c>
      <c r="R118" s="70">
        <f t="shared" si="98"/>
        <v>0</v>
      </c>
      <c r="S118" s="70">
        <f t="shared" si="98"/>
        <v>0</v>
      </c>
      <c r="T118" s="76">
        <f t="shared" si="98"/>
        <v>2618.4</v>
      </c>
      <c r="U118" s="55">
        <f t="shared" si="98"/>
        <v>0</v>
      </c>
      <c r="V118" s="57">
        <f t="shared" ref="V118:Y118" si="99">V119+V120+V121</f>
        <v>0</v>
      </c>
      <c r="W118" s="57">
        <f t="shared" si="99"/>
        <v>0</v>
      </c>
      <c r="X118" s="57">
        <f t="shared" si="99"/>
        <v>0</v>
      </c>
      <c r="Y118" s="106">
        <f t="shared" si="99"/>
        <v>3310.5216499999997</v>
      </c>
      <c r="Z118" s="46"/>
      <c r="AA118" s="81"/>
    </row>
    <row r="119" spans="1:27" ht="60" customHeight="1">
      <c r="A119" s="56" t="s">
        <v>21</v>
      </c>
      <c r="B119" s="57" t="s">
        <v>32</v>
      </c>
      <c r="C119" s="58">
        <v>902</v>
      </c>
      <c r="D119" s="58" t="s">
        <v>48</v>
      </c>
      <c r="E119" s="58" t="s">
        <v>140</v>
      </c>
      <c r="F119" s="58" t="s">
        <v>147</v>
      </c>
      <c r="G119" s="59" t="s">
        <v>33</v>
      </c>
      <c r="H119" s="55">
        <v>1662.8</v>
      </c>
      <c r="I119" s="55"/>
      <c r="J119" s="73">
        <f>1361.3+411.1</f>
        <v>1772.4</v>
      </c>
      <c r="K119" s="70"/>
      <c r="L119" s="70"/>
      <c r="M119" s="70"/>
      <c r="N119" s="70"/>
      <c r="O119" s="70">
        <v>2756.5</v>
      </c>
      <c r="P119" s="55">
        <v>0</v>
      </c>
      <c r="Q119" s="73"/>
      <c r="R119" s="73"/>
      <c r="S119" s="73"/>
      <c r="T119" s="77">
        <v>2520.4</v>
      </c>
      <c r="U119" s="55"/>
      <c r="V119" s="57"/>
      <c r="W119" s="57"/>
      <c r="X119" s="57"/>
      <c r="Y119" s="106">
        <v>2547.6</v>
      </c>
      <c r="Z119" s="46"/>
      <c r="AA119" s="81"/>
    </row>
    <row r="120" spans="1:27" ht="22.5" customHeight="1">
      <c r="A120" s="56"/>
      <c r="B120" s="57" t="s">
        <v>36</v>
      </c>
      <c r="C120" s="58">
        <v>902</v>
      </c>
      <c r="D120" s="58" t="s">
        <v>48</v>
      </c>
      <c r="E120" s="58" t="s">
        <v>140</v>
      </c>
      <c r="F120" s="58" t="s">
        <v>147</v>
      </c>
      <c r="G120" s="59" t="s">
        <v>37</v>
      </c>
      <c r="H120" s="55">
        <v>51.7</v>
      </c>
      <c r="I120" s="55"/>
      <c r="J120" s="73">
        <f>1.29+10.9+18.6+17.4</f>
        <v>48.19</v>
      </c>
      <c r="K120" s="70"/>
      <c r="L120" s="70"/>
      <c r="M120" s="70"/>
      <c r="N120" s="70"/>
      <c r="O120" s="70">
        <v>133</v>
      </c>
      <c r="P120" s="55">
        <v>0</v>
      </c>
      <c r="Q120" s="55">
        <v>0</v>
      </c>
      <c r="R120" s="73"/>
      <c r="S120" s="73"/>
      <c r="T120" s="77">
        <v>97.5</v>
      </c>
      <c r="U120" s="57"/>
      <c r="V120" s="57"/>
      <c r="W120" s="57"/>
      <c r="X120" s="57"/>
      <c r="Y120" s="106">
        <v>762.42165</v>
      </c>
      <c r="Z120" s="46"/>
      <c r="AA120" s="81"/>
    </row>
    <row r="121" spans="1:27" ht="18" customHeight="1">
      <c r="A121" s="56"/>
      <c r="B121" s="57" t="s">
        <v>38</v>
      </c>
      <c r="C121" s="58">
        <v>902</v>
      </c>
      <c r="D121" s="58" t="s">
        <v>48</v>
      </c>
      <c r="E121" s="58" t="s">
        <v>140</v>
      </c>
      <c r="F121" s="58" t="s">
        <v>147</v>
      </c>
      <c r="G121" s="59" t="s">
        <v>39</v>
      </c>
      <c r="H121" s="55">
        <v>1</v>
      </c>
      <c r="I121" s="55"/>
      <c r="J121" s="73">
        <v>0.4</v>
      </c>
      <c r="K121" s="70"/>
      <c r="L121" s="70"/>
      <c r="M121" s="70"/>
      <c r="N121" s="70"/>
      <c r="O121" s="70">
        <v>0.5</v>
      </c>
      <c r="P121" s="55"/>
      <c r="Q121" s="73"/>
      <c r="R121" s="73"/>
      <c r="S121" s="73"/>
      <c r="T121" s="77">
        <v>0.5</v>
      </c>
      <c r="U121" s="57"/>
      <c r="V121" s="57"/>
      <c r="W121" s="57"/>
      <c r="X121" s="57"/>
      <c r="Y121" s="106">
        <f t="shared" ref="Y121" si="100">T121+U121+V121+W121+X121</f>
        <v>0.5</v>
      </c>
      <c r="Z121" s="46"/>
      <c r="AA121" s="81"/>
    </row>
    <row r="122" spans="1:27" ht="21" customHeight="1">
      <c r="A122" s="56"/>
      <c r="B122" s="57" t="s">
        <v>26</v>
      </c>
      <c r="C122" s="58">
        <v>902</v>
      </c>
      <c r="D122" s="58" t="s">
        <v>48</v>
      </c>
      <c r="E122" s="58" t="s">
        <v>140</v>
      </c>
      <c r="F122" s="58" t="s">
        <v>27</v>
      </c>
      <c r="G122" s="59"/>
      <c r="H122" s="55"/>
      <c r="I122" s="55"/>
      <c r="J122" s="73"/>
      <c r="K122" s="70">
        <f>K123</f>
        <v>0</v>
      </c>
      <c r="L122" s="70"/>
      <c r="M122" s="70"/>
      <c r="N122" s="70"/>
      <c r="O122" s="70">
        <f>O123</f>
        <v>0</v>
      </c>
      <c r="P122" s="55">
        <f t="shared" ref="P122:T123" si="101">P123</f>
        <v>0</v>
      </c>
      <c r="Q122" s="70">
        <f t="shared" si="101"/>
        <v>0</v>
      </c>
      <c r="R122" s="70">
        <f t="shared" si="101"/>
        <v>0</v>
      </c>
      <c r="S122" s="70">
        <f t="shared" si="101"/>
        <v>0</v>
      </c>
      <c r="T122" s="76">
        <f t="shared" si="101"/>
        <v>0</v>
      </c>
      <c r="U122" s="55">
        <f t="shared" ref="U122:Y123" si="102">U123</f>
        <v>0</v>
      </c>
      <c r="V122" s="57">
        <f t="shared" si="102"/>
        <v>0</v>
      </c>
      <c r="W122" s="57">
        <f t="shared" si="102"/>
        <v>0</v>
      </c>
      <c r="X122" s="57">
        <f t="shared" si="102"/>
        <v>0</v>
      </c>
      <c r="Y122" s="106">
        <f t="shared" si="102"/>
        <v>65.099999999999994</v>
      </c>
      <c r="Z122" s="46"/>
      <c r="AA122" s="81"/>
    </row>
    <row r="123" spans="1:27">
      <c r="A123" s="56"/>
      <c r="B123" s="57" t="s">
        <v>148</v>
      </c>
      <c r="C123" s="58">
        <v>902</v>
      </c>
      <c r="D123" s="58" t="s">
        <v>48</v>
      </c>
      <c r="E123" s="58" t="s">
        <v>140</v>
      </c>
      <c r="F123" s="58" t="s">
        <v>149</v>
      </c>
      <c r="G123" s="59"/>
      <c r="H123" s="55"/>
      <c r="I123" s="55"/>
      <c r="J123" s="73"/>
      <c r="K123" s="70">
        <f>K124</f>
        <v>0</v>
      </c>
      <c r="L123" s="70"/>
      <c r="M123" s="70"/>
      <c r="N123" s="70"/>
      <c r="O123" s="70">
        <f>O124</f>
        <v>0</v>
      </c>
      <c r="P123" s="55">
        <f t="shared" si="101"/>
        <v>0</v>
      </c>
      <c r="Q123" s="70">
        <f t="shared" si="101"/>
        <v>0</v>
      </c>
      <c r="R123" s="70">
        <f t="shared" si="101"/>
        <v>0</v>
      </c>
      <c r="S123" s="70">
        <f t="shared" si="101"/>
        <v>0</v>
      </c>
      <c r="T123" s="76">
        <f t="shared" si="101"/>
        <v>0</v>
      </c>
      <c r="U123" s="55">
        <f t="shared" si="102"/>
        <v>0</v>
      </c>
      <c r="V123" s="57">
        <f t="shared" si="102"/>
        <v>0</v>
      </c>
      <c r="W123" s="57">
        <f t="shared" si="102"/>
        <v>0</v>
      </c>
      <c r="X123" s="57">
        <f t="shared" si="102"/>
        <v>0</v>
      </c>
      <c r="Y123" s="106">
        <f t="shared" si="102"/>
        <v>65.099999999999994</v>
      </c>
      <c r="Z123" s="46"/>
      <c r="AA123" s="81"/>
    </row>
    <row r="124" spans="1:27" ht="56.25">
      <c r="A124" s="56"/>
      <c r="B124" s="57" t="s">
        <v>32</v>
      </c>
      <c r="C124" s="58">
        <v>902</v>
      </c>
      <c r="D124" s="58" t="s">
        <v>48</v>
      </c>
      <c r="E124" s="58" t="s">
        <v>140</v>
      </c>
      <c r="F124" s="58" t="s">
        <v>149</v>
      </c>
      <c r="G124" s="59" t="s">
        <v>33</v>
      </c>
      <c r="H124" s="55"/>
      <c r="I124" s="55"/>
      <c r="J124" s="73"/>
      <c r="K124" s="70"/>
      <c r="L124" s="70"/>
      <c r="M124" s="70"/>
      <c r="N124" s="70"/>
      <c r="O124" s="70"/>
      <c r="P124" s="55">
        <v>0</v>
      </c>
      <c r="Q124" s="73"/>
      <c r="R124" s="73"/>
      <c r="S124" s="73">
        <v>0</v>
      </c>
      <c r="T124" s="77">
        <f>O124+P124+Q124+R124+S124</f>
        <v>0</v>
      </c>
      <c r="U124" s="55"/>
      <c r="V124" s="57"/>
      <c r="W124" s="57"/>
      <c r="X124" s="57"/>
      <c r="Y124" s="106">
        <v>65.099999999999994</v>
      </c>
      <c r="Z124" s="46"/>
      <c r="AA124" s="81"/>
    </row>
    <row r="125" spans="1:27" ht="57" customHeight="1">
      <c r="A125" s="56"/>
      <c r="B125" s="57" t="s">
        <v>150</v>
      </c>
      <c r="C125" s="58">
        <v>902</v>
      </c>
      <c r="D125" s="58" t="s">
        <v>48</v>
      </c>
      <c r="E125" s="58" t="s">
        <v>140</v>
      </c>
      <c r="F125" s="58" t="s">
        <v>151</v>
      </c>
      <c r="G125" s="59"/>
      <c r="H125" s="55">
        <f>H126</f>
        <v>3537.7</v>
      </c>
      <c r="I125" s="55">
        <f>I126</f>
        <v>0</v>
      </c>
      <c r="J125" s="73">
        <f>J126</f>
        <v>4238.4800000000005</v>
      </c>
      <c r="K125" s="55">
        <f>K126</f>
        <v>0</v>
      </c>
      <c r="L125" s="55"/>
      <c r="M125" s="55"/>
      <c r="N125" s="55"/>
      <c r="O125" s="70">
        <f t="shared" ref="O125:U125" si="103">O126</f>
        <v>4666.22</v>
      </c>
      <c r="P125" s="55">
        <f t="shared" si="103"/>
        <v>0</v>
      </c>
      <c r="Q125" s="70">
        <f t="shared" si="103"/>
        <v>0</v>
      </c>
      <c r="R125" s="70">
        <f t="shared" si="103"/>
        <v>0</v>
      </c>
      <c r="S125" s="70">
        <f t="shared" si="103"/>
        <v>0</v>
      </c>
      <c r="T125" s="76">
        <f t="shared" si="103"/>
        <v>5558.9</v>
      </c>
      <c r="U125" s="55">
        <f t="shared" si="103"/>
        <v>0</v>
      </c>
      <c r="V125" s="57">
        <f t="shared" ref="V125:Y125" si="104">V126</f>
        <v>0</v>
      </c>
      <c r="W125" s="57">
        <f t="shared" si="104"/>
        <v>0</v>
      </c>
      <c r="X125" s="57">
        <f t="shared" si="104"/>
        <v>0</v>
      </c>
      <c r="Y125" s="106">
        <f t="shared" si="104"/>
        <v>5945.5999999999995</v>
      </c>
      <c r="Z125" s="46"/>
      <c r="AA125" s="81"/>
    </row>
    <row r="126" spans="1:27" ht="23.25" customHeight="1">
      <c r="A126" s="56" t="s">
        <v>21</v>
      </c>
      <c r="B126" s="57" t="s">
        <v>152</v>
      </c>
      <c r="C126" s="58">
        <v>902</v>
      </c>
      <c r="D126" s="58" t="s">
        <v>48</v>
      </c>
      <c r="E126" s="58" t="s">
        <v>140</v>
      </c>
      <c r="F126" s="58" t="s">
        <v>153</v>
      </c>
      <c r="G126" s="59" t="s">
        <v>21</v>
      </c>
      <c r="H126" s="55">
        <f>H127+H128+H129</f>
        <v>3537.7</v>
      </c>
      <c r="I126" s="55">
        <f>I127+I128+I129</f>
        <v>0</v>
      </c>
      <c r="J126" s="73">
        <f>J127+J128+J129</f>
        <v>4238.4800000000005</v>
      </c>
      <c r="K126" s="55">
        <f>K127+K128+K129</f>
        <v>0</v>
      </c>
      <c r="L126" s="55"/>
      <c r="M126" s="55"/>
      <c r="N126" s="55"/>
      <c r="O126" s="70">
        <f t="shared" ref="O126:U126" si="105">O127+O128+O129</f>
        <v>4666.22</v>
      </c>
      <c r="P126" s="55">
        <f t="shared" si="105"/>
        <v>0</v>
      </c>
      <c r="Q126" s="70">
        <f t="shared" si="105"/>
        <v>0</v>
      </c>
      <c r="R126" s="70">
        <f t="shared" si="105"/>
        <v>0</v>
      </c>
      <c r="S126" s="70">
        <f t="shared" si="105"/>
        <v>0</v>
      </c>
      <c r="T126" s="76">
        <f t="shared" si="105"/>
        <v>5558.9</v>
      </c>
      <c r="U126" s="55">
        <f t="shared" si="105"/>
        <v>0</v>
      </c>
      <c r="V126" s="57">
        <f t="shared" ref="V126:Y126" si="106">V127+V128+V129</f>
        <v>0</v>
      </c>
      <c r="W126" s="57">
        <f t="shared" si="106"/>
        <v>0</v>
      </c>
      <c r="X126" s="57">
        <f t="shared" si="106"/>
        <v>0</v>
      </c>
      <c r="Y126" s="106">
        <f t="shared" si="106"/>
        <v>5945.5999999999995</v>
      </c>
      <c r="Z126" s="46"/>
      <c r="AA126" s="81"/>
    </row>
    <row r="127" spans="1:27" ht="62.25" customHeight="1">
      <c r="A127" s="56" t="s">
        <v>21</v>
      </c>
      <c r="B127" s="57" t="s">
        <v>32</v>
      </c>
      <c r="C127" s="58">
        <v>902</v>
      </c>
      <c r="D127" s="58" t="s">
        <v>48</v>
      </c>
      <c r="E127" s="58" t="s">
        <v>140</v>
      </c>
      <c r="F127" s="58" t="s">
        <v>153</v>
      </c>
      <c r="G127" s="59" t="s">
        <v>33</v>
      </c>
      <c r="H127" s="55">
        <v>3376.6</v>
      </c>
      <c r="I127" s="55"/>
      <c r="J127" s="73">
        <f>2781.2+839.9</f>
        <v>3621.1</v>
      </c>
      <c r="K127" s="70"/>
      <c r="L127" s="70"/>
      <c r="M127" s="70"/>
      <c r="N127" s="70"/>
      <c r="O127" s="70">
        <v>3857</v>
      </c>
      <c r="P127" s="55">
        <v>0</v>
      </c>
      <c r="Q127" s="73"/>
      <c r="R127" s="73"/>
      <c r="S127" s="73"/>
      <c r="T127" s="77">
        <v>4842</v>
      </c>
      <c r="U127" s="55">
        <v>0</v>
      </c>
      <c r="V127" s="57"/>
      <c r="W127" s="57"/>
      <c r="X127" s="57"/>
      <c r="Y127" s="106">
        <v>5084.7</v>
      </c>
      <c r="Z127" s="46"/>
      <c r="AA127" s="81"/>
    </row>
    <row r="128" spans="1:27" ht="23.25" customHeight="1">
      <c r="A128" s="56"/>
      <c r="B128" s="57" t="s">
        <v>36</v>
      </c>
      <c r="C128" s="58">
        <v>902</v>
      </c>
      <c r="D128" s="58" t="s">
        <v>48</v>
      </c>
      <c r="E128" s="58" t="s">
        <v>140</v>
      </c>
      <c r="F128" s="58" t="s">
        <v>153</v>
      </c>
      <c r="G128" s="59" t="s">
        <v>37</v>
      </c>
      <c r="H128" s="55">
        <v>159.4</v>
      </c>
      <c r="I128" s="55"/>
      <c r="J128" s="73">
        <f>19.8+299.98+42.4+212.6+34.5</f>
        <v>609.28</v>
      </c>
      <c r="K128" s="70"/>
      <c r="L128" s="70"/>
      <c r="M128" s="70"/>
      <c r="N128" s="70"/>
      <c r="O128" s="70">
        <f>767+19.02</f>
        <v>786.02</v>
      </c>
      <c r="P128" s="55">
        <v>0</v>
      </c>
      <c r="Q128" s="55">
        <v>0</v>
      </c>
      <c r="R128" s="73"/>
      <c r="S128" s="73"/>
      <c r="T128" s="77">
        <v>693.7</v>
      </c>
      <c r="U128" s="55">
        <v>0</v>
      </c>
      <c r="V128" s="57"/>
      <c r="W128" s="57"/>
      <c r="X128" s="57"/>
      <c r="Y128" s="106">
        <v>837.7</v>
      </c>
      <c r="Z128" s="46"/>
      <c r="AA128" s="81"/>
    </row>
    <row r="129" spans="1:27">
      <c r="A129" s="56"/>
      <c r="B129" s="57" t="s">
        <v>38</v>
      </c>
      <c r="C129" s="58">
        <v>902</v>
      </c>
      <c r="D129" s="58" t="s">
        <v>48</v>
      </c>
      <c r="E129" s="58" t="s">
        <v>140</v>
      </c>
      <c r="F129" s="58" t="s">
        <v>153</v>
      </c>
      <c r="G129" s="59" t="s">
        <v>39</v>
      </c>
      <c r="H129" s="55">
        <v>1.7</v>
      </c>
      <c r="I129" s="55"/>
      <c r="J129" s="73">
        <v>8.1</v>
      </c>
      <c r="K129" s="70"/>
      <c r="L129" s="70"/>
      <c r="M129" s="70"/>
      <c r="N129" s="70"/>
      <c r="O129" s="70">
        <v>23.2</v>
      </c>
      <c r="P129" s="55">
        <v>0</v>
      </c>
      <c r="Q129" s="55"/>
      <c r="R129" s="55"/>
      <c r="S129" s="55"/>
      <c r="T129" s="77">
        <v>23.2</v>
      </c>
      <c r="U129" s="57"/>
      <c r="V129" s="57"/>
      <c r="W129" s="57"/>
      <c r="X129" s="57"/>
      <c r="Y129" s="106">
        <f t="shared" ref="Y129" si="107">T129+U129+V129+W129+X129</f>
        <v>23.2</v>
      </c>
      <c r="Z129" s="46"/>
      <c r="AA129" s="81"/>
    </row>
    <row r="130" spans="1:27" ht="41.25" customHeight="1">
      <c r="A130" s="56"/>
      <c r="B130" s="57" t="s">
        <v>154</v>
      </c>
      <c r="C130" s="58">
        <v>902</v>
      </c>
      <c r="D130" s="58" t="s">
        <v>48</v>
      </c>
      <c r="E130" s="58" t="s">
        <v>140</v>
      </c>
      <c r="F130" s="58" t="s">
        <v>155</v>
      </c>
      <c r="G130" s="59"/>
      <c r="H130" s="55">
        <f>H131</f>
        <v>15151.3</v>
      </c>
      <c r="I130" s="55">
        <f>I131</f>
        <v>0</v>
      </c>
      <c r="J130" s="73">
        <f>J131</f>
        <v>16539.95</v>
      </c>
      <c r="K130" s="55">
        <f>K131</f>
        <v>0</v>
      </c>
      <c r="L130" s="55"/>
      <c r="M130" s="55"/>
      <c r="N130" s="55"/>
      <c r="O130" s="70">
        <f t="shared" ref="O130:Y130" si="108">O131</f>
        <v>19572.5</v>
      </c>
      <c r="P130" s="55">
        <f t="shared" si="108"/>
        <v>0</v>
      </c>
      <c r="Q130" s="70">
        <f t="shared" si="108"/>
        <v>0</v>
      </c>
      <c r="R130" s="70">
        <f t="shared" si="108"/>
        <v>0</v>
      </c>
      <c r="S130" s="70">
        <f t="shared" si="108"/>
        <v>0</v>
      </c>
      <c r="T130" s="76">
        <f t="shared" si="108"/>
        <v>25173.3</v>
      </c>
      <c r="U130" s="57">
        <f t="shared" si="108"/>
        <v>0</v>
      </c>
      <c r="V130" s="57">
        <f t="shared" si="108"/>
        <v>0</v>
      </c>
      <c r="W130" s="57">
        <f t="shared" si="108"/>
        <v>0</v>
      </c>
      <c r="X130" s="76">
        <f t="shared" si="108"/>
        <v>0</v>
      </c>
      <c r="Y130" s="106">
        <f t="shared" si="108"/>
        <v>26913.620000000003</v>
      </c>
      <c r="Z130" s="46"/>
      <c r="AA130" s="81"/>
    </row>
    <row r="131" spans="1:27" ht="19.5" customHeight="1">
      <c r="A131" s="56" t="s">
        <v>21</v>
      </c>
      <c r="B131" s="57" t="s">
        <v>152</v>
      </c>
      <c r="C131" s="58">
        <v>902</v>
      </c>
      <c r="D131" s="58" t="s">
        <v>48</v>
      </c>
      <c r="E131" s="58" t="s">
        <v>140</v>
      </c>
      <c r="F131" s="58" t="s">
        <v>156</v>
      </c>
      <c r="G131" s="59" t="s">
        <v>21</v>
      </c>
      <c r="H131" s="55">
        <f>H132+H133+H134</f>
        <v>15151.3</v>
      </c>
      <c r="I131" s="55">
        <f>I132+I133+I134</f>
        <v>0</v>
      </c>
      <c r="J131" s="73">
        <f>J132+J133+J134</f>
        <v>16539.95</v>
      </c>
      <c r="K131" s="55">
        <f>K132+K133+K134</f>
        <v>0</v>
      </c>
      <c r="L131" s="55"/>
      <c r="M131" s="55"/>
      <c r="N131" s="55"/>
      <c r="O131" s="70">
        <f t="shared" ref="O131:U131" si="109">O132+O133+O134</f>
        <v>19572.5</v>
      </c>
      <c r="P131" s="55">
        <f t="shared" si="109"/>
        <v>0</v>
      </c>
      <c r="Q131" s="70">
        <f t="shared" si="109"/>
        <v>0</v>
      </c>
      <c r="R131" s="70">
        <f t="shared" si="109"/>
        <v>0</v>
      </c>
      <c r="S131" s="70">
        <f t="shared" si="109"/>
        <v>0</v>
      </c>
      <c r="T131" s="76">
        <f t="shared" si="109"/>
        <v>25173.3</v>
      </c>
      <c r="U131" s="57">
        <f t="shared" si="109"/>
        <v>0</v>
      </c>
      <c r="V131" s="57">
        <f t="shared" ref="V131:Y131" si="110">V132+V133+V134</f>
        <v>0</v>
      </c>
      <c r="W131" s="57">
        <f t="shared" si="110"/>
        <v>0</v>
      </c>
      <c r="X131" s="57">
        <f t="shared" si="110"/>
        <v>0</v>
      </c>
      <c r="Y131" s="106">
        <f t="shared" si="110"/>
        <v>26913.620000000003</v>
      </c>
      <c r="Z131" s="46"/>
      <c r="AA131" s="81"/>
    </row>
    <row r="132" spans="1:27" ht="64.5" customHeight="1">
      <c r="A132" s="56" t="s">
        <v>21</v>
      </c>
      <c r="B132" s="57" t="s">
        <v>32</v>
      </c>
      <c r="C132" s="58">
        <v>902</v>
      </c>
      <c r="D132" s="58" t="s">
        <v>48</v>
      </c>
      <c r="E132" s="58" t="s">
        <v>140</v>
      </c>
      <c r="F132" s="58" t="s">
        <v>156</v>
      </c>
      <c r="G132" s="59" t="s">
        <v>33</v>
      </c>
      <c r="H132" s="55">
        <v>14640.8</v>
      </c>
      <c r="I132" s="55"/>
      <c r="J132" s="73">
        <f>12321.4+3758.1</f>
        <v>16079.5</v>
      </c>
      <c r="K132" s="70"/>
      <c r="L132" s="70"/>
      <c r="M132" s="70"/>
      <c r="N132" s="70"/>
      <c r="O132" s="70">
        <v>18886.7</v>
      </c>
      <c r="P132" s="55">
        <v>0</v>
      </c>
      <c r="Q132" s="55">
        <v>0</v>
      </c>
      <c r="R132" s="73"/>
      <c r="S132" s="73"/>
      <c r="T132" s="77">
        <v>24305.599999999999</v>
      </c>
      <c r="U132" s="55"/>
      <c r="V132" s="57"/>
      <c r="W132" s="57"/>
      <c r="X132" s="57"/>
      <c r="Y132" s="106">
        <v>25644.774000000001</v>
      </c>
      <c r="Z132" s="46"/>
      <c r="AA132" s="81"/>
    </row>
    <row r="133" spans="1:27" ht="24.75" customHeight="1">
      <c r="A133" s="61"/>
      <c r="B133" s="57" t="s">
        <v>36</v>
      </c>
      <c r="C133" s="58">
        <v>902</v>
      </c>
      <c r="D133" s="58" t="s">
        <v>48</v>
      </c>
      <c r="E133" s="58" t="s">
        <v>140</v>
      </c>
      <c r="F133" s="58" t="s">
        <v>156</v>
      </c>
      <c r="G133" s="59" t="s">
        <v>37</v>
      </c>
      <c r="H133" s="55">
        <v>499</v>
      </c>
      <c r="I133" s="55"/>
      <c r="J133" s="73">
        <f>4.95+53.2+59.3+15.5+312.5</f>
        <v>445.45</v>
      </c>
      <c r="K133" s="70">
        <v>0</v>
      </c>
      <c r="L133" s="70"/>
      <c r="M133" s="70"/>
      <c r="N133" s="70"/>
      <c r="O133" s="70">
        <v>670.8</v>
      </c>
      <c r="P133" s="55">
        <v>0</v>
      </c>
      <c r="Q133" s="55">
        <v>0</v>
      </c>
      <c r="R133" s="55"/>
      <c r="S133" s="55"/>
      <c r="T133" s="77">
        <f>953.7-50.5-50.5</f>
        <v>852.7</v>
      </c>
      <c r="U133" s="57">
        <v>0</v>
      </c>
      <c r="V133" s="57"/>
      <c r="W133" s="57"/>
      <c r="X133" s="57"/>
      <c r="Y133" s="106">
        <v>1253.846</v>
      </c>
      <c r="Z133" s="46"/>
      <c r="AA133" s="81"/>
    </row>
    <row r="134" spans="1:27">
      <c r="A134" s="56" t="s">
        <v>21</v>
      </c>
      <c r="B134" s="57" t="s">
        <v>38</v>
      </c>
      <c r="C134" s="58">
        <v>902</v>
      </c>
      <c r="D134" s="58" t="s">
        <v>48</v>
      </c>
      <c r="E134" s="58" t="s">
        <v>140</v>
      </c>
      <c r="F134" s="58" t="s">
        <v>156</v>
      </c>
      <c r="G134" s="59" t="s">
        <v>39</v>
      </c>
      <c r="H134" s="55">
        <v>11.5</v>
      </c>
      <c r="I134" s="55"/>
      <c r="J134" s="73">
        <v>15</v>
      </c>
      <c r="K134" s="70"/>
      <c r="L134" s="70"/>
      <c r="M134" s="70"/>
      <c r="N134" s="70"/>
      <c r="O134" s="70">
        <v>15</v>
      </c>
      <c r="P134" s="55"/>
      <c r="Q134" s="73"/>
      <c r="R134" s="73"/>
      <c r="S134" s="73"/>
      <c r="T134" s="77">
        <v>15</v>
      </c>
      <c r="U134" s="57"/>
      <c r="V134" s="57"/>
      <c r="W134" s="57"/>
      <c r="X134" s="57"/>
      <c r="Y134" s="106">
        <f t="shared" ref="Y134" si="111">T134+U134+V134+W134+X134</f>
        <v>15</v>
      </c>
      <c r="Z134" s="46"/>
      <c r="AA134" s="81"/>
    </row>
    <row r="135" spans="1:27" ht="37.5" hidden="1">
      <c r="A135" s="56"/>
      <c r="B135" s="57" t="s">
        <v>68</v>
      </c>
      <c r="C135" s="58">
        <v>902</v>
      </c>
      <c r="D135" s="58" t="s">
        <v>48</v>
      </c>
      <c r="E135" s="58" t="s">
        <v>140</v>
      </c>
      <c r="F135" s="58" t="s">
        <v>157</v>
      </c>
      <c r="G135" s="59" t="s">
        <v>21</v>
      </c>
      <c r="H135" s="55"/>
      <c r="I135" s="55"/>
      <c r="J135" s="73"/>
      <c r="K135" s="70"/>
      <c r="L135" s="70"/>
      <c r="M135" s="70"/>
      <c r="N135" s="70"/>
      <c r="O135" s="70"/>
      <c r="P135" s="55"/>
      <c r="Q135" s="73"/>
      <c r="R135" s="73"/>
      <c r="S135" s="73"/>
      <c r="T135" s="77">
        <f t="shared" ref="T135:Y135" si="112">T136</f>
        <v>0</v>
      </c>
      <c r="U135" s="57">
        <f t="shared" si="112"/>
        <v>0</v>
      </c>
      <c r="V135" s="57">
        <f t="shared" si="112"/>
        <v>0</v>
      </c>
      <c r="W135" s="57">
        <f t="shared" si="112"/>
        <v>0</v>
      </c>
      <c r="X135" s="55">
        <f t="shared" si="112"/>
        <v>0</v>
      </c>
      <c r="Y135" s="106">
        <f t="shared" si="112"/>
        <v>0</v>
      </c>
      <c r="Z135" s="46"/>
      <c r="AA135" s="81"/>
    </row>
    <row r="136" spans="1:27" ht="56.25" hidden="1">
      <c r="A136" s="56"/>
      <c r="B136" s="57" t="s">
        <v>32</v>
      </c>
      <c r="C136" s="58">
        <v>902</v>
      </c>
      <c r="D136" s="58" t="s">
        <v>48</v>
      </c>
      <c r="E136" s="58" t="s">
        <v>140</v>
      </c>
      <c r="F136" s="58" t="s">
        <v>157</v>
      </c>
      <c r="G136" s="59" t="s">
        <v>33</v>
      </c>
      <c r="H136" s="55"/>
      <c r="I136" s="55"/>
      <c r="J136" s="73"/>
      <c r="K136" s="70"/>
      <c r="L136" s="70"/>
      <c r="M136" s="70"/>
      <c r="N136" s="70"/>
      <c r="O136" s="70"/>
      <c r="P136" s="55"/>
      <c r="Q136" s="73"/>
      <c r="R136" s="73"/>
      <c r="S136" s="73"/>
      <c r="T136" s="77">
        <v>0</v>
      </c>
      <c r="U136" s="55"/>
      <c r="V136" s="57"/>
      <c r="W136" s="57"/>
      <c r="X136" s="55"/>
      <c r="Y136" s="106">
        <f>T136+U136+V136+W136+X136</f>
        <v>0</v>
      </c>
      <c r="Z136" s="46"/>
      <c r="AA136" s="81"/>
    </row>
    <row r="137" spans="1:27">
      <c r="A137" s="56"/>
      <c r="B137" s="57" t="s">
        <v>85</v>
      </c>
      <c r="C137" s="58">
        <v>902</v>
      </c>
      <c r="D137" s="58" t="s">
        <v>48</v>
      </c>
      <c r="E137" s="58" t="s">
        <v>140</v>
      </c>
      <c r="F137" s="58" t="s">
        <v>158</v>
      </c>
      <c r="G137" s="59"/>
      <c r="H137" s="55"/>
      <c r="I137" s="55"/>
      <c r="J137" s="73"/>
      <c r="K137" s="70"/>
      <c r="L137" s="70"/>
      <c r="M137" s="70"/>
      <c r="N137" s="70"/>
      <c r="O137" s="70"/>
      <c r="P137" s="55"/>
      <c r="Q137" s="73"/>
      <c r="R137" s="73"/>
      <c r="S137" s="73"/>
      <c r="T137" s="77">
        <f t="shared" ref="T137:Y137" si="113">T138</f>
        <v>101</v>
      </c>
      <c r="U137" s="55">
        <f t="shared" si="113"/>
        <v>0</v>
      </c>
      <c r="V137" s="57">
        <f t="shared" si="113"/>
        <v>0</v>
      </c>
      <c r="W137" s="57">
        <f t="shared" si="113"/>
        <v>0</v>
      </c>
      <c r="X137" s="77">
        <f t="shared" si="113"/>
        <v>9994.6</v>
      </c>
      <c r="Y137" s="106">
        <f t="shared" si="113"/>
        <v>10095.6</v>
      </c>
      <c r="Z137" s="46"/>
      <c r="AA137" s="81"/>
    </row>
    <row r="138" spans="1:27" ht="56.25">
      <c r="A138" s="56"/>
      <c r="B138" s="57" t="s">
        <v>159</v>
      </c>
      <c r="C138" s="58">
        <v>902</v>
      </c>
      <c r="D138" s="58" t="s">
        <v>48</v>
      </c>
      <c r="E138" s="58" t="s">
        <v>140</v>
      </c>
      <c r="F138" s="58" t="s">
        <v>160</v>
      </c>
      <c r="G138" s="59"/>
      <c r="H138" s="55"/>
      <c r="I138" s="55"/>
      <c r="J138" s="73"/>
      <c r="K138" s="70"/>
      <c r="L138" s="70"/>
      <c r="M138" s="70"/>
      <c r="N138" s="70"/>
      <c r="O138" s="70"/>
      <c r="P138" s="55"/>
      <c r="Q138" s="73"/>
      <c r="R138" s="73"/>
      <c r="S138" s="73"/>
      <c r="T138" s="77">
        <f>T139</f>
        <v>101</v>
      </c>
      <c r="U138" s="55"/>
      <c r="V138" s="57"/>
      <c r="W138" s="57"/>
      <c r="X138" s="73">
        <f>X139</f>
        <v>9994.6</v>
      </c>
      <c r="Y138" s="106">
        <f>Y139</f>
        <v>10095.6</v>
      </c>
      <c r="Z138" s="46"/>
      <c r="AA138" s="81"/>
    </row>
    <row r="139" spans="1:27" ht="37.5">
      <c r="A139" s="56"/>
      <c r="B139" s="57" t="s">
        <v>56</v>
      </c>
      <c r="C139" s="58">
        <v>902</v>
      </c>
      <c r="D139" s="58" t="s">
        <v>48</v>
      </c>
      <c r="E139" s="58" t="s">
        <v>140</v>
      </c>
      <c r="F139" s="58" t="s">
        <v>160</v>
      </c>
      <c r="G139" s="59">
        <v>600</v>
      </c>
      <c r="H139" s="55"/>
      <c r="I139" s="55"/>
      <c r="J139" s="73"/>
      <c r="K139" s="70"/>
      <c r="L139" s="70"/>
      <c r="M139" s="70"/>
      <c r="N139" s="70"/>
      <c r="O139" s="70"/>
      <c r="P139" s="55"/>
      <c r="Q139" s="73"/>
      <c r="R139" s="73"/>
      <c r="S139" s="73"/>
      <c r="T139" s="77">
        <f>50.5+50.5</f>
        <v>101</v>
      </c>
      <c r="U139" s="55"/>
      <c r="V139" s="57"/>
      <c r="W139" s="57"/>
      <c r="X139" s="55">
        <f>4997.3+4997.3</f>
        <v>9994.6</v>
      </c>
      <c r="Y139" s="106">
        <f>T139+X139</f>
        <v>10095.6</v>
      </c>
      <c r="Z139" s="46"/>
      <c r="AA139" s="81"/>
    </row>
    <row r="140" spans="1:27" ht="22.5" customHeight="1">
      <c r="A140" s="61">
        <v>3</v>
      </c>
      <c r="B140" s="52" t="s">
        <v>161</v>
      </c>
      <c r="C140" s="53">
        <v>903</v>
      </c>
      <c r="D140" s="53" t="s">
        <v>21</v>
      </c>
      <c r="E140" s="53" t="s">
        <v>21</v>
      </c>
      <c r="F140" s="53" t="s">
        <v>21</v>
      </c>
      <c r="G140" s="54" t="s">
        <v>21</v>
      </c>
      <c r="H140" s="55">
        <f>H141+H163</f>
        <v>18152.599999999999</v>
      </c>
      <c r="I140" s="55">
        <f>I141+I163</f>
        <v>4795.6000000000004</v>
      </c>
      <c r="J140" s="71">
        <f>J141+J163</f>
        <v>13711.999999999998</v>
      </c>
      <c r="K140" s="68">
        <f>K141+K163</f>
        <v>4789.8</v>
      </c>
      <c r="L140" s="68"/>
      <c r="M140" s="68"/>
      <c r="N140" s="68"/>
      <c r="O140" s="69">
        <f t="shared" ref="O140:U140" si="114">O141+O163</f>
        <v>20293.080000000002</v>
      </c>
      <c r="P140" s="68">
        <f t="shared" si="114"/>
        <v>4812.5</v>
      </c>
      <c r="Q140" s="69">
        <f t="shared" si="114"/>
        <v>0</v>
      </c>
      <c r="R140" s="69">
        <f t="shared" si="114"/>
        <v>0</v>
      </c>
      <c r="S140" s="69">
        <f t="shared" si="114"/>
        <v>0</v>
      </c>
      <c r="T140" s="75">
        <f t="shared" si="114"/>
        <v>26371.9</v>
      </c>
      <c r="U140" s="71">
        <f t="shared" si="114"/>
        <v>0</v>
      </c>
      <c r="V140" s="71">
        <f t="shared" ref="V140:Y140" si="115">V141+V163</f>
        <v>0</v>
      </c>
      <c r="W140" s="71">
        <f t="shared" si="115"/>
        <v>0</v>
      </c>
      <c r="X140" s="71">
        <f t="shared" si="115"/>
        <v>4790</v>
      </c>
      <c r="Y140" s="103">
        <f t="shared" si="115"/>
        <v>26643.686000000002</v>
      </c>
      <c r="Z140" s="46"/>
      <c r="AA140" s="81"/>
    </row>
    <row r="141" spans="1:27">
      <c r="A141" s="56" t="s">
        <v>21</v>
      </c>
      <c r="B141" s="57" t="s">
        <v>22</v>
      </c>
      <c r="C141" s="58">
        <v>903</v>
      </c>
      <c r="D141" s="58" t="s">
        <v>23</v>
      </c>
      <c r="E141" s="58" t="s">
        <v>21</v>
      </c>
      <c r="F141" s="58" t="s">
        <v>21</v>
      </c>
      <c r="G141" s="59" t="s">
        <v>21</v>
      </c>
      <c r="H141" s="55">
        <f>H142+H153+H157</f>
        <v>15994.5</v>
      </c>
      <c r="I141" s="55">
        <f>I142+I153+I157</f>
        <v>0</v>
      </c>
      <c r="J141" s="73">
        <f>J142+J153+J157</f>
        <v>11550.599999999999</v>
      </c>
      <c r="K141" s="55">
        <f>K142+K153+K157</f>
        <v>0</v>
      </c>
      <c r="L141" s="55"/>
      <c r="M141" s="55"/>
      <c r="N141" s="55"/>
      <c r="O141" s="70">
        <f t="shared" ref="O141:T141" si="116">O142+O153+O157</f>
        <v>18131.68</v>
      </c>
      <c r="P141" s="55">
        <f t="shared" si="116"/>
        <v>0</v>
      </c>
      <c r="Q141" s="70">
        <f t="shared" si="116"/>
        <v>0</v>
      </c>
      <c r="R141" s="70">
        <f t="shared" si="116"/>
        <v>0</v>
      </c>
      <c r="S141" s="70">
        <f t="shared" si="116"/>
        <v>0</v>
      </c>
      <c r="T141" s="76">
        <f t="shared" si="116"/>
        <v>24210.5</v>
      </c>
      <c r="U141" s="55">
        <f t="shared" ref="U141:Y141" si="117">U142+U153+U157</f>
        <v>0</v>
      </c>
      <c r="V141" s="55">
        <f t="shared" si="117"/>
        <v>0</v>
      </c>
      <c r="W141" s="55">
        <f t="shared" si="117"/>
        <v>0</v>
      </c>
      <c r="X141" s="55">
        <f t="shared" si="117"/>
        <v>0</v>
      </c>
      <c r="Y141" s="106">
        <f t="shared" si="117"/>
        <v>11320.046</v>
      </c>
      <c r="Z141" s="46"/>
      <c r="AA141" s="81"/>
    </row>
    <row r="142" spans="1:27" ht="38.25" customHeight="1">
      <c r="A142" s="56" t="s">
        <v>21</v>
      </c>
      <c r="B142" s="57" t="s">
        <v>162</v>
      </c>
      <c r="C142" s="58">
        <v>903</v>
      </c>
      <c r="D142" s="58" t="s">
        <v>23</v>
      </c>
      <c r="E142" s="58" t="s">
        <v>163</v>
      </c>
      <c r="F142" s="58" t="s">
        <v>21</v>
      </c>
      <c r="G142" s="59" t="s">
        <v>21</v>
      </c>
      <c r="H142" s="55">
        <f t="shared" ref="H142:J145" si="118">H143</f>
        <v>5993.7</v>
      </c>
      <c r="I142" s="55">
        <f t="shared" si="118"/>
        <v>0</v>
      </c>
      <c r="J142" s="73">
        <f t="shared" si="118"/>
        <v>6254.5999999999995</v>
      </c>
      <c r="K142" s="55">
        <f>K143+K150</f>
        <v>0</v>
      </c>
      <c r="L142" s="55"/>
      <c r="M142" s="55"/>
      <c r="N142" s="55"/>
      <c r="O142" s="70">
        <f t="shared" ref="O142:T142" si="119">O143+O150</f>
        <v>6843.3</v>
      </c>
      <c r="P142" s="70">
        <f t="shared" si="119"/>
        <v>0</v>
      </c>
      <c r="Q142" s="70">
        <f t="shared" si="119"/>
        <v>0</v>
      </c>
      <c r="R142" s="70">
        <f t="shared" si="119"/>
        <v>0</v>
      </c>
      <c r="S142" s="70">
        <f t="shared" si="119"/>
        <v>0</v>
      </c>
      <c r="T142" s="76">
        <f t="shared" si="119"/>
        <v>7216.9</v>
      </c>
      <c r="U142" s="55">
        <f t="shared" ref="U142:Y142" si="120">U143+U150</f>
        <v>0</v>
      </c>
      <c r="V142" s="55">
        <f t="shared" si="120"/>
        <v>0</v>
      </c>
      <c r="W142" s="55">
        <f t="shared" si="120"/>
        <v>0</v>
      </c>
      <c r="X142" s="55">
        <f t="shared" si="120"/>
        <v>0</v>
      </c>
      <c r="Y142" s="106">
        <f t="shared" si="120"/>
        <v>8320.0460000000003</v>
      </c>
      <c r="Z142" s="46"/>
      <c r="AA142" s="81"/>
    </row>
    <row r="143" spans="1:27" ht="37.5">
      <c r="A143" s="56"/>
      <c r="B143" s="62" t="s">
        <v>164</v>
      </c>
      <c r="C143" s="58">
        <v>903</v>
      </c>
      <c r="D143" s="58" t="s">
        <v>23</v>
      </c>
      <c r="E143" s="58" t="s">
        <v>163</v>
      </c>
      <c r="F143" s="58" t="s">
        <v>165</v>
      </c>
      <c r="G143" s="59" t="s">
        <v>21</v>
      </c>
      <c r="H143" s="55">
        <f t="shared" si="118"/>
        <v>5993.7</v>
      </c>
      <c r="I143" s="55">
        <f t="shared" si="118"/>
        <v>0</v>
      </c>
      <c r="J143" s="73">
        <f t="shared" si="118"/>
        <v>6254.5999999999995</v>
      </c>
      <c r="K143" s="55">
        <f>K144</f>
        <v>0</v>
      </c>
      <c r="L143" s="55"/>
      <c r="M143" s="55"/>
      <c r="N143" s="55"/>
      <c r="O143" s="70">
        <f>O144</f>
        <v>6843.3</v>
      </c>
      <c r="P143" s="55">
        <f t="shared" ref="P143:Y145" si="121">P144</f>
        <v>0</v>
      </c>
      <c r="Q143" s="70">
        <f t="shared" si="121"/>
        <v>0</v>
      </c>
      <c r="R143" s="70">
        <f t="shared" si="121"/>
        <v>0</v>
      </c>
      <c r="S143" s="70">
        <f t="shared" si="121"/>
        <v>0</v>
      </c>
      <c r="T143" s="76">
        <f t="shared" si="121"/>
        <v>7216.9</v>
      </c>
      <c r="U143" s="55">
        <f t="shared" si="121"/>
        <v>0</v>
      </c>
      <c r="V143" s="55">
        <f t="shared" si="121"/>
        <v>0</v>
      </c>
      <c r="W143" s="55">
        <f t="shared" si="121"/>
        <v>0</v>
      </c>
      <c r="X143" s="55">
        <f t="shared" si="121"/>
        <v>0</v>
      </c>
      <c r="Y143" s="106">
        <f t="shared" si="121"/>
        <v>7984.9110000000001</v>
      </c>
      <c r="Z143" s="46"/>
      <c r="AA143" s="81"/>
    </row>
    <row r="144" spans="1:27" ht="38.25" customHeight="1">
      <c r="A144" s="56" t="s">
        <v>21</v>
      </c>
      <c r="B144" s="62" t="s">
        <v>166</v>
      </c>
      <c r="C144" s="58">
        <v>903</v>
      </c>
      <c r="D144" s="58" t="s">
        <v>23</v>
      </c>
      <c r="E144" s="58" t="s">
        <v>163</v>
      </c>
      <c r="F144" s="58" t="s">
        <v>167</v>
      </c>
      <c r="G144" s="59" t="s">
        <v>21</v>
      </c>
      <c r="H144" s="55">
        <f t="shared" si="118"/>
        <v>5993.7</v>
      </c>
      <c r="I144" s="55">
        <f t="shared" si="118"/>
        <v>0</v>
      </c>
      <c r="J144" s="73">
        <f t="shared" si="118"/>
        <v>6254.5999999999995</v>
      </c>
      <c r="K144" s="55">
        <f>K145</f>
        <v>0</v>
      </c>
      <c r="L144" s="55"/>
      <c r="M144" s="55"/>
      <c r="N144" s="55"/>
      <c r="O144" s="70">
        <f>O145</f>
        <v>6843.3</v>
      </c>
      <c r="P144" s="55">
        <f t="shared" si="121"/>
        <v>0</v>
      </c>
      <c r="Q144" s="70">
        <f t="shared" si="121"/>
        <v>0</v>
      </c>
      <c r="R144" s="70">
        <f t="shared" si="121"/>
        <v>0</v>
      </c>
      <c r="S144" s="70">
        <f t="shared" si="121"/>
        <v>0</v>
      </c>
      <c r="T144" s="76">
        <f t="shared" si="121"/>
        <v>7216.9</v>
      </c>
      <c r="U144" s="55">
        <f t="shared" si="121"/>
        <v>0</v>
      </c>
      <c r="V144" s="55">
        <f t="shared" si="121"/>
        <v>0</v>
      </c>
      <c r="W144" s="55">
        <f t="shared" si="121"/>
        <v>0</v>
      </c>
      <c r="X144" s="55">
        <f t="shared" si="121"/>
        <v>0</v>
      </c>
      <c r="Y144" s="106">
        <f t="shared" si="121"/>
        <v>7984.9110000000001</v>
      </c>
      <c r="Z144" s="46"/>
      <c r="AA144" s="81"/>
    </row>
    <row r="145" spans="1:27" ht="37.5">
      <c r="A145" s="56" t="s">
        <v>21</v>
      </c>
      <c r="B145" s="62" t="s">
        <v>168</v>
      </c>
      <c r="C145" s="58">
        <v>903</v>
      </c>
      <c r="D145" s="58" t="s">
        <v>23</v>
      </c>
      <c r="E145" s="58" t="s">
        <v>163</v>
      </c>
      <c r="F145" s="58" t="s">
        <v>169</v>
      </c>
      <c r="G145" s="59"/>
      <c r="H145" s="55">
        <f t="shared" si="118"/>
        <v>5993.7</v>
      </c>
      <c r="I145" s="55">
        <f t="shared" si="118"/>
        <v>0</v>
      </c>
      <c r="J145" s="73">
        <f t="shared" si="118"/>
        <v>6254.5999999999995</v>
      </c>
      <c r="K145" s="55">
        <f>K146</f>
        <v>0</v>
      </c>
      <c r="L145" s="55"/>
      <c r="M145" s="55"/>
      <c r="N145" s="55"/>
      <c r="O145" s="70">
        <f>O146</f>
        <v>6843.3</v>
      </c>
      <c r="P145" s="55">
        <f t="shared" si="121"/>
        <v>0</v>
      </c>
      <c r="Q145" s="70">
        <f t="shared" si="121"/>
        <v>0</v>
      </c>
      <c r="R145" s="70">
        <f t="shared" si="121"/>
        <v>0</v>
      </c>
      <c r="S145" s="70">
        <f t="shared" si="121"/>
        <v>0</v>
      </c>
      <c r="T145" s="76">
        <f t="shared" si="121"/>
        <v>7216.9</v>
      </c>
      <c r="U145" s="55">
        <f t="shared" si="121"/>
        <v>0</v>
      </c>
      <c r="V145" s="55">
        <f t="shared" si="121"/>
        <v>0</v>
      </c>
      <c r="W145" s="55">
        <f t="shared" si="121"/>
        <v>0</v>
      </c>
      <c r="X145" s="55">
        <f t="shared" si="121"/>
        <v>0</v>
      </c>
      <c r="Y145" s="106">
        <f t="shared" si="121"/>
        <v>7984.9110000000001</v>
      </c>
      <c r="Z145" s="46"/>
      <c r="AA145" s="81"/>
    </row>
    <row r="146" spans="1:27">
      <c r="A146" s="56" t="s">
        <v>21</v>
      </c>
      <c r="B146" s="57" t="s">
        <v>170</v>
      </c>
      <c r="C146" s="58">
        <v>903</v>
      </c>
      <c r="D146" s="58" t="s">
        <v>23</v>
      </c>
      <c r="E146" s="58" t="s">
        <v>163</v>
      </c>
      <c r="F146" s="58" t="s">
        <v>171</v>
      </c>
      <c r="G146" s="59" t="s">
        <v>21</v>
      </c>
      <c r="H146" s="55">
        <f>H147+H148+H149</f>
        <v>5993.7</v>
      </c>
      <c r="I146" s="55">
        <f>I147+I148+I149</f>
        <v>0</v>
      </c>
      <c r="J146" s="73">
        <f>J147+J148+J149</f>
        <v>6254.5999999999995</v>
      </c>
      <c r="K146" s="55">
        <f>K147+K148+K149</f>
        <v>0</v>
      </c>
      <c r="L146" s="55"/>
      <c r="M146" s="55"/>
      <c r="N146" s="55"/>
      <c r="O146" s="70">
        <f t="shared" ref="O146:T146" si="122">O147+O148+O149</f>
        <v>6843.3</v>
      </c>
      <c r="P146" s="55">
        <f t="shared" si="122"/>
        <v>0</v>
      </c>
      <c r="Q146" s="70">
        <f t="shared" si="122"/>
        <v>0</v>
      </c>
      <c r="R146" s="70">
        <f t="shared" si="122"/>
        <v>0</v>
      </c>
      <c r="S146" s="70">
        <f t="shared" si="122"/>
        <v>0</v>
      </c>
      <c r="T146" s="76">
        <f t="shared" si="122"/>
        <v>7216.9</v>
      </c>
      <c r="U146" s="55">
        <f t="shared" ref="U146:Y146" si="123">U147+U148+U149</f>
        <v>0</v>
      </c>
      <c r="V146" s="55">
        <f t="shared" si="123"/>
        <v>0</v>
      </c>
      <c r="W146" s="55">
        <f t="shared" si="123"/>
        <v>0</v>
      </c>
      <c r="X146" s="55">
        <f t="shared" si="123"/>
        <v>0</v>
      </c>
      <c r="Y146" s="106">
        <f t="shared" si="123"/>
        <v>7984.9110000000001</v>
      </c>
      <c r="Z146" s="46"/>
      <c r="AA146" s="81"/>
    </row>
    <row r="147" spans="1:27" ht="61.5" customHeight="1">
      <c r="A147" s="56" t="s">
        <v>21</v>
      </c>
      <c r="B147" s="57" t="s">
        <v>32</v>
      </c>
      <c r="C147" s="58">
        <v>903</v>
      </c>
      <c r="D147" s="58" t="s">
        <v>23</v>
      </c>
      <c r="E147" s="58" t="s">
        <v>163</v>
      </c>
      <c r="F147" s="58" t="s">
        <v>171</v>
      </c>
      <c r="G147" s="59" t="s">
        <v>33</v>
      </c>
      <c r="H147" s="55">
        <v>5617.7</v>
      </c>
      <c r="I147" s="55"/>
      <c r="J147" s="73">
        <f>4520.2+1365.1</f>
        <v>5885.2999999999993</v>
      </c>
      <c r="K147" s="70"/>
      <c r="L147" s="70"/>
      <c r="M147" s="70"/>
      <c r="N147" s="70"/>
      <c r="O147" s="70">
        <v>6338.2</v>
      </c>
      <c r="P147" s="55"/>
      <c r="Q147" s="73"/>
      <c r="R147" s="73"/>
      <c r="S147" s="73"/>
      <c r="T147" s="77">
        <f>6690.4</f>
        <v>6690.4</v>
      </c>
      <c r="U147" s="55"/>
      <c r="V147" s="57"/>
      <c r="W147" s="57"/>
      <c r="X147" s="57"/>
      <c r="Y147" s="106">
        <f>7349.18906+109.22194-10</f>
        <v>7448.4110000000001</v>
      </c>
      <c r="Z147" s="46"/>
      <c r="AA147" s="81"/>
    </row>
    <row r="148" spans="1:27" ht="25.5" customHeight="1">
      <c r="A148" s="56" t="s">
        <v>21</v>
      </c>
      <c r="B148" s="57" t="s">
        <v>36</v>
      </c>
      <c r="C148" s="58">
        <v>903</v>
      </c>
      <c r="D148" s="58" t="s">
        <v>23</v>
      </c>
      <c r="E148" s="58" t="s">
        <v>163</v>
      </c>
      <c r="F148" s="58" t="s">
        <v>171</v>
      </c>
      <c r="G148" s="59" t="s">
        <v>37</v>
      </c>
      <c r="H148" s="55">
        <v>370.5</v>
      </c>
      <c r="I148" s="55"/>
      <c r="J148" s="73">
        <f>8.6+3.4+44.4+114.3+3.6+189.5</f>
        <v>363.79999999999995</v>
      </c>
      <c r="K148" s="70"/>
      <c r="L148" s="70"/>
      <c r="M148" s="70"/>
      <c r="N148" s="70"/>
      <c r="O148" s="70">
        <v>499.6</v>
      </c>
      <c r="P148" s="55">
        <v>0</v>
      </c>
      <c r="Q148" s="55">
        <v>0</v>
      </c>
      <c r="R148" s="55">
        <v>0</v>
      </c>
      <c r="S148" s="55">
        <v>0</v>
      </c>
      <c r="T148" s="77">
        <v>521</v>
      </c>
      <c r="U148" s="57"/>
      <c r="V148" s="57"/>
      <c r="W148" s="57"/>
      <c r="X148" s="57"/>
      <c r="Y148" s="106">
        <f>521+10+2.98323</f>
        <v>533.98323000000005</v>
      </c>
      <c r="Z148" s="46"/>
      <c r="AA148" s="81"/>
    </row>
    <row r="149" spans="1:27" ht="21" customHeight="1">
      <c r="A149" s="56" t="s">
        <v>21</v>
      </c>
      <c r="B149" s="57" t="s">
        <v>38</v>
      </c>
      <c r="C149" s="58">
        <v>903</v>
      </c>
      <c r="D149" s="58" t="s">
        <v>23</v>
      </c>
      <c r="E149" s="58" t="s">
        <v>163</v>
      </c>
      <c r="F149" s="58" t="s">
        <v>171</v>
      </c>
      <c r="G149" s="59" t="s">
        <v>39</v>
      </c>
      <c r="H149" s="55">
        <v>5.5</v>
      </c>
      <c r="I149" s="55"/>
      <c r="J149" s="73">
        <f>2.6+2.9</f>
        <v>5.5</v>
      </c>
      <c r="K149" s="70"/>
      <c r="L149" s="70"/>
      <c r="M149" s="70"/>
      <c r="N149" s="70"/>
      <c r="O149" s="70">
        <v>5.5</v>
      </c>
      <c r="P149" s="55"/>
      <c r="Q149" s="73"/>
      <c r="R149" s="73"/>
      <c r="S149" s="73"/>
      <c r="T149" s="77">
        <v>5.5</v>
      </c>
      <c r="U149" s="57"/>
      <c r="V149" s="57"/>
      <c r="W149" s="57"/>
      <c r="X149" s="57"/>
      <c r="Y149" s="106">
        <f>5.5-2.89923-0.084</f>
        <v>2.5167699999999997</v>
      </c>
      <c r="Z149" s="46"/>
      <c r="AA149" s="81"/>
    </row>
    <row r="150" spans="1:27" ht="24" customHeight="1">
      <c r="A150" s="56"/>
      <c r="B150" s="57" t="s">
        <v>26</v>
      </c>
      <c r="C150" s="58">
        <v>903</v>
      </c>
      <c r="D150" s="58" t="s">
        <v>23</v>
      </c>
      <c r="E150" s="58" t="s">
        <v>163</v>
      </c>
      <c r="F150" s="58" t="s">
        <v>27</v>
      </c>
      <c r="G150" s="59"/>
      <c r="H150" s="55"/>
      <c r="I150" s="55"/>
      <c r="J150" s="73"/>
      <c r="K150" s="65">
        <f>K151</f>
        <v>0</v>
      </c>
      <c r="L150" s="70"/>
      <c r="M150" s="70"/>
      <c r="N150" s="65"/>
      <c r="O150" s="70">
        <f t="shared" ref="O150:T150" si="124">O151</f>
        <v>0</v>
      </c>
      <c r="P150" s="55">
        <f t="shared" si="124"/>
        <v>0</v>
      </c>
      <c r="Q150" s="55">
        <f t="shared" si="124"/>
        <v>0</v>
      </c>
      <c r="R150" s="55">
        <f t="shared" si="124"/>
        <v>0</v>
      </c>
      <c r="S150" s="55">
        <f t="shared" si="124"/>
        <v>0</v>
      </c>
      <c r="T150" s="77">
        <f t="shared" si="124"/>
        <v>0</v>
      </c>
      <c r="U150" s="55">
        <f t="shared" ref="U150:X151" si="125">U151</f>
        <v>0</v>
      </c>
      <c r="V150" s="57">
        <f t="shared" si="125"/>
        <v>0</v>
      </c>
      <c r="W150" s="57">
        <f t="shared" si="125"/>
        <v>0</v>
      </c>
      <c r="X150" s="55">
        <f t="shared" si="125"/>
        <v>0</v>
      </c>
      <c r="Y150" s="106">
        <f>Y151</f>
        <v>335.13499999999999</v>
      </c>
      <c r="Z150" s="46"/>
      <c r="AA150" s="81"/>
    </row>
    <row r="151" spans="1:27">
      <c r="A151" s="56"/>
      <c r="B151" s="57" t="s">
        <v>148</v>
      </c>
      <c r="C151" s="58">
        <v>903</v>
      </c>
      <c r="D151" s="58" t="s">
        <v>23</v>
      </c>
      <c r="E151" s="58" t="s">
        <v>163</v>
      </c>
      <c r="F151" s="58" t="s">
        <v>149</v>
      </c>
      <c r="G151" s="59"/>
      <c r="H151" s="55"/>
      <c r="I151" s="55"/>
      <c r="J151" s="73"/>
      <c r="K151" s="65">
        <f>K152</f>
        <v>0</v>
      </c>
      <c r="L151" s="70"/>
      <c r="M151" s="70"/>
      <c r="N151" s="65"/>
      <c r="O151" s="70">
        <f t="shared" ref="O151:T151" si="126">O152</f>
        <v>0</v>
      </c>
      <c r="P151" s="55">
        <f t="shared" si="126"/>
        <v>0</v>
      </c>
      <c r="Q151" s="70">
        <f t="shared" si="126"/>
        <v>0</v>
      </c>
      <c r="R151" s="70">
        <f t="shared" si="126"/>
        <v>0</v>
      </c>
      <c r="S151" s="70">
        <f t="shared" si="126"/>
        <v>0</v>
      </c>
      <c r="T151" s="76">
        <f t="shared" si="126"/>
        <v>0</v>
      </c>
      <c r="U151" s="55">
        <f t="shared" si="125"/>
        <v>0</v>
      </c>
      <c r="V151" s="57">
        <f t="shared" si="125"/>
        <v>0</v>
      </c>
      <c r="W151" s="57">
        <f t="shared" si="125"/>
        <v>0</v>
      </c>
      <c r="X151" s="55">
        <f t="shared" si="125"/>
        <v>0</v>
      </c>
      <c r="Y151" s="106">
        <f>Y152</f>
        <v>335.13499999999999</v>
      </c>
      <c r="Z151" s="46"/>
      <c r="AA151" s="81"/>
    </row>
    <row r="152" spans="1:27" ht="56.25">
      <c r="A152" s="56"/>
      <c r="B152" s="57" t="s">
        <v>32</v>
      </c>
      <c r="C152" s="58">
        <v>903</v>
      </c>
      <c r="D152" s="58" t="s">
        <v>23</v>
      </c>
      <c r="E152" s="58" t="s">
        <v>163</v>
      </c>
      <c r="F152" s="58" t="s">
        <v>149</v>
      </c>
      <c r="G152" s="59">
        <v>100</v>
      </c>
      <c r="H152" s="55"/>
      <c r="I152" s="55"/>
      <c r="J152" s="73"/>
      <c r="K152" s="70"/>
      <c r="L152" s="70"/>
      <c r="M152" s="70"/>
      <c r="N152" s="70"/>
      <c r="O152" s="70"/>
      <c r="P152" s="55">
        <v>0</v>
      </c>
      <c r="Q152" s="73"/>
      <c r="R152" s="73"/>
      <c r="S152" s="73">
        <v>0</v>
      </c>
      <c r="T152" s="77"/>
      <c r="U152" s="55"/>
      <c r="V152" s="57"/>
      <c r="W152" s="57"/>
      <c r="X152" s="55"/>
      <c r="Y152" s="106">
        <v>335.13499999999999</v>
      </c>
      <c r="Z152" s="46"/>
      <c r="AA152" s="81"/>
    </row>
    <row r="153" spans="1:27">
      <c r="A153" s="56" t="s">
        <v>21</v>
      </c>
      <c r="B153" s="57" t="s">
        <v>172</v>
      </c>
      <c r="C153" s="58">
        <v>903</v>
      </c>
      <c r="D153" s="58" t="s">
        <v>23</v>
      </c>
      <c r="E153" s="58" t="s">
        <v>173</v>
      </c>
      <c r="F153" s="58" t="s">
        <v>21</v>
      </c>
      <c r="G153" s="59" t="s">
        <v>21</v>
      </c>
      <c r="H153" s="55">
        <f t="shared" ref="H153:K155" si="127">H154</f>
        <v>8813.7999999999993</v>
      </c>
      <c r="I153" s="55">
        <f t="shared" si="127"/>
        <v>0</v>
      </c>
      <c r="J153" s="73">
        <f t="shared" si="127"/>
        <v>3646</v>
      </c>
      <c r="K153" s="55">
        <f t="shared" si="127"/>
        <v>0</v>
      </c>
      <c r="L153" s="55"/>
      <c r="M153" s="55"/>
      <c r="N153" s="55"/>
      <c r="O153" s="70">
        <f>O154</f>
        <v>1377.8</v>
      </c>
      <c r="P153" s="55">
        <f t="shared" ref="P153:Y155" si="128">P154</f>
        <v>0</v>
      </c>
      <c r="Q153" s="70">
        <f t="shared" si="128"/>
        <v>0</v>
      </c>
      <c r="R153" s="70">
        <f t="shared" si="128"/>
        <v>0</v>
      </c>
      <c r="S153" s="70">
        <f t="shared" si="128"/>
        <v>0</v>
      </c>
      <c r="T153" s="76">
        <f t="shared" si="128"/>
        <v>3000</v>
      </c>
      <c r="U153" s="55">
        <f t="shared" si="128"/>
        <v>0</v>
      </c>
      <c r="V153" s="55">
        <f t="shared" si="128"/>
        <v>0</v>
      </c>
      <c r="W153" s="55">
        <f t="shared" si="128"/>
        <v>0</v>
      </c>
      <c r="X153" s="55">
        <f t="shared" si="128"/>
        <v>0</v>
      </c>
      <c r="Y153" s="106">
        <f t="shared" si="128"/>
        <v>3000</v>
      </c>
      <c r="Z153" s="46"/>
      <c r="AA153" s="81"/>
    </row>
    <row r="154" spans="1:27" ht="37.5">
      <c r="A154" s="56" t="s">
        <v>21</v>
      </c>
      <c r="B154" s="60" t="s">
        <v>41</v>
      </c>
      <c r="C154" s="58">
        <v>903</v>
      </c>
      <c r="D154" s="58" t="s">
        <v>23</v>
      </c>
      <c r="E154" s="58" t="s">
        <v>173</v>
      </c>
      <c r="F154" s="58" t="s">
        <v>42</v>
      </c>
      <c r="G154" s="59" t="s">
        <v>21</v>
      </c>
      <c r="H154" s="55">
        <f t="shared" si="127"/>
        <v>8813.7999999999993</v>
      </c>
      <c r="I154" s="55">
        <f t="shared" si="127"/>
        <v>0</v>
      </c>
      <c r="J154" s="73">
        <f t="shared" si="127"/>
        <v>3646</v>
      </c>
      <c r="K154" s="55">
        <f t="shared" si="127"/>
        <v>0</v>
      </c>
      <c r="L154" s="55"/>
      <c r="M154" s="55"/>
      <c r="N154" s="55"/>
      <c r="O154" s="70">
        <f>O155</f>
        <v>1377.8</v>
      </c>
      <c r="P154" s="55">
        <f t="shared" si="128"/>
        <v>0</v>
      </c>
      <c r="Q154" s="70">
        <f t="shared" si="128"/>
        <v>0</v>
      </c>
      <c r="R154" s="70">
        <f t="shared" si="128"/>
        <v>0</v>
      </c>
      <c r="S154" s="70">
        <f t="shared" si="128"/>
        <v>0</v>
      </c>
      <c r="T154" s="76">
        <f t="shared" si="128"/>
        <v>3000</v>
      </c>
      <c r="U154" s="55">
        <f t="shared" si="128"/>
        <v>0</v>
      </c>
      <c r="V154" s="55">
        <f t="shared" si="128"/>
        <v>0</v>
      </c>
      <c r="W154" s="55">
        <f t="shared" si="128"/>
        <v>0</v>
      </c>
      <c r="X154" s="55">
        <f t="shared" si="128"/>
        <v>0</v>
      </c>
      <c r="Y154" s="106">
        <f t="shared" si="128"/>
        <v>3000</v>
      </c>
      <c r="Z154" s="46"/>
      <c r="AA154" s="81"/>
    </row>
    <row r="155" spans="1:27">
      <c r="A155" s="56" t="s">
        <v>21</v>
      </c>
      <c r="B155" s="57" t="s">
        <v>174</v>
      </c>
      <c r="C155" s="58">
        <v>903</v>
      </c>
      <c r="D155" s="58" t="s">
        <v>23</v>
      </c>
      <c r="E155" s="58" t="s">
        <v>173</v>
      </c>
      <c r="F155" s="58" t="s">
        <v>175</v>
      </c>
      <c r="G155" s="59" t="s">
        <v>21</v>
      </c>
      <c r="H155" s="55">
        <f t="shared" si="127"/>
        <v>8813.7999999999993</v>
      </c>
      <c r="I155" s="55">
        <f t="shared" si="127"/>
        <v>0</v>
      </c>
      <c r="J155" s="73">
        <f t="shared" si="127"/>
        <v>3646</v>
      </c>
      <c r="K155" s="55">
        <f t="shared" si="127"/>
        <v>0</v>
      </c>
      <c r="L155" s="55"/>
      <c r="M155" s="55"/>
      <c r="N155" s="55"/>
      <c r="O155" s="70">
        <f>O156</f>
        <v>1377.8</v>
      </c>
      <c r="P155" s="55">
        <f t="shared" si="128"/>
        <v>0</v>
      </c>
      <c r="Q155" s="70">
        <f t="shared" si="128"/>
        <v>0</v>
      </c>
      <c r="R155" s="70">
        <f t="shared" si="128"/>
        <v>0</v>
      </c>
      <c r="S155" s="70">
        <f t="shared" si="128"/>
        <v>0</v>
      </c>
      <c r="T155" s="76">
        <f t="shared" si="128"/>
        <v>3000</v>
      </c>
      <c r="U155" s="55">
        <f t="shared" si="128"/>
        <v>0</v>
      </c>
      <c r="V155" s="55">
        <f t="shared" si="128"/>
        <v>0</v>
      </c>
      <c r="W155" s="55">
        <f t="shared" si="128"/>
        <v>0</v>
      </c>
      <c r="X155" s="55">
        <f t="shared" si="128"/>
        <v>0</v>
      </c>
      <c r="Y155" s="106">
        <f t="shared" si="128"/>
        <v>3000</v>
      </c>
      <c r="Z155" s="46"/>
      <c r="AA155" s="81"/>
    </row>
    <row r="156" spans="1:27" ht="18" customHeight="1">
      <c r="A156" s="56" t="s">
        <v>21</v>
      </c>
      <c r="B156" s="57" t="s">
        <v>38</v>
      </c>
      <c r="C156" s="58">
        <v>903</v>
      </c>
      <c r="D156" s="58" t="s">
        <v>23</v>
      </c>
      <c r="E156" s="58" t="s">
        <v>173</v>
      </c>
      <c r="F156" s="58" t="s">
        <v>175</v>
      </c>
      <c r="G156" s="59" t="s">
        <v>39</v>
      </c>
      <c r="H156" s="55">
        <f>5300+3513.8</f>
        <v>8813.7999999999993</v>
      </c>
      <c r="I156" s="55"/>
      <c r="J156" s="73">
        <v>3646</v>
      </c>
      <c r="K156" s="70"/>
      <c r="L156" s="70"/>
      <c r="M156" s="70"/>
      <c r="N156" s="70"/>
      <c r="O156" s="70">
        <f>1300+77.8</f>
        <v>1377.8</v>
      </c>
      <c r="P156" s="55">
        <v>0</v>
      </c>
      <c r="Q156" s="55"/>
      <c r="R156" s="55"/>
      <c r="S156" s="55"/>
      <c r="T156" s="77">
        <v>3000</v>
      </c>
      <c r="U156" s="55"/>
      <c r="V156" s="55"/>
      <c r="W156" s="57"/>
      <c r="X156" s="57"/>
      <c r="Y156" s="106">
        <f>4200-1200</f>
        <v>3000</v>
      </c>
      <c r="Z156" s="46"/>
      <c r="AA156" s="81"/>
    </row>
    <row r="157" spans="1:27" hidden="1">
      <c r="A157" s="56" t="s">
        <v>21</v>
      </c>
      <c r="B157" s="57" t="s">
        <v>40</v>
      </c>
      <c r="C157" s="58">
        <v>903</v>
      </c>
      <c r="D157" s="58" t="s">
        <v>23</v>
      </c>
      <c r="E157" s="58" t="s">
        <v>176</v>
      </c>
      <c r="F157" s="58" t="s">
        <v>21</v>
      </c>
      <c r="G157" s="59" t="s">
        <v>21</v>
      </c>
      <c r="H157" s="55">
        <f>H158</f>
        <v>1187</v>
      </c>
      <c r="I157" s="55">
        <v>0</v>
      </c>
      <c r="J157" s="73">
        <f t="shared" ref="J157:K159" si="129">J158</f>
        <v>1650</v>
      </c>
      <c r="K157" s="55">
        <f t="shared" si="129"/>
        <v>0</v>
      </c>
      <c r="L157" s="55"/>
      <c r="M157" s="55"/>
      <c r="N157" s="55"/>
      <c r="O157" s="70">
        <f>O158</f>
        <v>9910.58</v>
      </c>
      <c r="P157" s="55">
        <f t="shared" ref="P157:Y159" si="130">P158</f>
        <v>0</v>
      </c>
      <c r="Q157" s="70">
        <f t="shared" si="130"/>
        <v>0</v>
      </c>
      <c r="R157" s="70">
        <f t="shared" si="130"/>
        <v>0</v>
      </c>
      <c r="S157" s="70">
        <f t="shared" si="130"/>
        <v>0</v>
      </c>
      <c r="T157" s="76">
        <f t="shared" si="130"/>
        <v>13993.600000000002</v>
      </c>
      <c r="U157" s="55">
        <f t="shared" si="130"/>
        <v>0</v>
      </c>
      <c r="V157" s="55">
        <f t="shared" si="130"/>
        <v>0</v>
      </c>
      <c r="W157" s="55">
        <f t="shared" si="130"/>
        <v>0</v>
      </c>
      <c r="X157" s="55">
        <f t="shared" si="130"/>
        <v>0</v>
      </c>
      <c r="Y157" s="106">
        <f t="shared" si="130"/>
        <v>0</v>
      </c>
      <c r="Z157" s="46"/>
      <c r="AA157" s="81"/>
    </row>
    <row r="158" spans="1:27" ht="37.5" hidden="1">
      <c r="A158" s="56" t="s">
        <v>21</v>
      </c>
      <c r="B158" s="60" t="s">
        <v>41</v>
      </c>
      <c r="C158" s="58">
        <v>903</v>
      </c>
      <c r="D158" s="58" t="s">
        <v>23</v>
      </c>
      <c r="E158" s="58" t="s">
        <v>176</v>
      </c>
      <c r="F158" s="58" t="s">
        <v>42</v>
      </c>
      <c r="G158" s="59" t="s">
        <v>21</v>
      </c>
      <c r="H158" s="55">
        <f>H159</f>
        <v>1187</v>
      </c>
      <c r="I158" s="55">
        <v>0</v>
      </c>
      <c r="J158" s="73">
        <f t="shared" si="129"/>
        <v>1650</v>
      </c>
      <c r="K158" s="55">
        <f t="shared" si="129"/>
        <v>0</v>
      </c>
      <c r="L158" s="55"/>
      <c r="M158" s="55"/>
      <c r="N158" s="55"/>
      <c r="O158" s="70">
        <f>O159+O161</f>
        <v>9910.58</v>
      </c>
      <c r="P158" s="55">
        <f t="shared" ref="P158:T158" si="131">P159+P161</f>
        <v>0</v>
      </c>
      <c r="Q158" s="70">
        <f t="shared" si="131"/>
        <v>0</v>
      </c>
      <c r="R158" s="70">
        <f t="shared" si="131"/>
        <v>0</v>
      </c>
      <c r="S158" s="70">
        <f t="shared" si="131"/>
        <v>0</v>
      </c>
      <c r="T158" s="76">
        <f t="shared" si="131"/>
        <v>13993.600000000002</v>
      </c>
      <c r="U158" s="55">
        <f t="shared" ref="U158:Y158" si="132">U159+U161</f>
        <v>0</v>
      </c>
      <c r="V158" s="55">
        <f t="shared" si="132"/>
        <v>0</v>
      </c>
      <c r="W158" s="55">
        <f t="shared" si="132"/>
        <v>0</v>
      </c>
      <c r="X158" s="55">
        <f t="shared" si="132"/>
        <v>0</v>
      </c>
      <c r="Y158" s="106">
        <f t="shared" si="132"/>
        <v>0</v>
      </c>
      <c r="Z158" s="46"/>
      <c r="AA158" s="81"/>
    </row>
    <row r="159" spans="1:27" ht="37.5" hidden="1">
      <c r="A159" s="56" t="s">
        <v>21</v>
      </c>
      <c r="B159" s="57" t="s">
        <v>43</v>
      </c>
      <c r="C159" s="58">
        <v>903</v>
      </c>
      <c r="D159" s="58" t="s">
        <v>23</v>
      </c>
      <c r="E159" s="58" t="s">
        <v>176</v>
      </c>
      <c r="F159" s="58" t="s">
        <v>44</v>
      </c>
      <c r="G159" s="59" t="s">
        <v>21</v>
      </c>
      <c r="H159" s="55">
        <f>H160</f>
        <v>1187</v>
      </c>
      <c r="I159" s="55">
        <v>0</v>
      </c>
      <c r="J159" s="73">
        <f t="shared" si="129"/>
        <v>1650</v>
      </c>
      <c r="K159" s="55">
        <f t="shared" si="129"/>
        <v>0</v>
      </c>
      <c r="L159" s="55"/>
      <c r="M159" s="55"/>
      <c r="N159" s="55"/>
      <c r="O159" s="70">
        <f>O160</f>
        <v>1226.2</v>
      </c>
      <c r="P159" s="55">
        <f t="shared" si="130"/>
        <v>0</v>
      </c>
      <c r="Q159" s="70">
        <f t="shared" si="130"/>
        <v>0</v>
      </c>
      <c r="R159" s="70">
        <f t="shared" si="130"/>
        <v>0</v>
      </c>
      <c r="S159" s="70">
        <f t="shared" si="130"/>
        <v>0</v>
      </c>
      <c r="T159" s="76">
        <f t="shared" si="130"/>
        <v>1223.5</v>
      </c>
      <c r="U159" s="55">
        <f t="shared" si="130"/>
        <v>0</v>
      </c>
      <c r="V159" s="55">
        <f t="shared" si="130"/>
        <v>0</v>
      </c>
      <c r="W159" s="55">
        <f t="shared" si="130"/>
        <v>0</v>
      </c>
      <c r="X159" s="55">
        <f t="shared" si="130"/>
        <v>0</v>
      </c>
      <c r="Y159" s="106">
        <f t="shared" si="130"/>
        <v>0</v>
      </c>
      <c r="Z159" s="46"/>
      <c r="AA159" s="81"/>
    </row>
    <row r="160" spans="1:27" hidden="1">
      <c r="A160" s="56" t="s">
        <v>21</v>
      </c>
      <c r="B160" s="57" t="s">
        <v>45</v>
      </c>
      <c r="C160" s="58">
        <v>903</v>
      </c>
      <c r="D160" s="58" t="s">
        <v>23</v>
      </c>
      <c r="E160" s="58" t="s">
        <v>176</v>
      </c>
      <c r="F160" s="58" t="s">
        <v>44</v>
      </c>
      <c r="G160" s="59">
        <v>300</v>
      </c>
      <c r="H160" s="55">
        <v>1187</v>
      </c>
      <c r="I160" s="55">
        <v>0</v>
      </c>
      <c r="J160" s="73">
        <v>1650</v>
      </c>
      <c r="K160" s="70"/>
      <c r="L160" s="70"/>
      <c r="M160" s="70"/>
      <c r="N160" s="70"/>
      <c r="O160" s="70">
        <v>1226.2</v>
      </c>
      <c r="P160" s="55">
        <v>0</v>
      </c>
      <c r="Q160" s="55">
        <v>0</v>
      </c>
      <c r="R160" s="73"/>
      <c r="S160" s="73"/>
      <c r="T160" s="77">
        <v>1223.5</v>
      </c>
      <c r="U160" s="57"/>
      <c r="V160" s="57"/>
      <c r="W160" s="57"/>
      <c r="X160" s="57"/>
      <c r="Y160" s="106">
        <v>0</v>
      </c>
      <c r="Z160" s="46"/>
      <c r="AA160" s="81"/>
    </row>
    <row r="161" spans="1:27" ht="37.5" hidden="1">
      <c r="A161" s="56"/>
      <c r="B161" s="57" t="s">
        <v>177</v>
      </c>
      <c r="C161" s="58">
        <v>903</v>
      </c>
      <c r="D161" s="83" t="s">
        <v>23</v>
      </c>
      <c r="E161" s="58">
        <v>13</v>
      </c>
      <c r="F161" s="58" t="s">
        <v>178</v>
      </c>
      <c r="G161" s="59"/>
      <c r="H161" s="55"/>
      <c r="I161" s="55"/>
      <c r="J161" s="73"/>
      <c r="K161" s="70"/>
      <c r="L161" s="70"/>
      <c r="M161" s="70"/>
      <c r="N161" s="70"/>
      <c r="O161" s="70">
        <f>O162</f>
        <v>8684.3799999999992</v>
      </c>
      <c r="P161" s="70">
        <f t="shared" ref="P161:Y161" si="133">P162</f>
        <v>0</v>
      </c>
      <c r="Q161" s="70">
        <f t="shared" si="133"/>
        <v>0</v>
      </c>
      <c r="R161" s="70">
        <f t="shared" si="133"/>
        <v>0</v>
      </c>
      <c r="S161" s="70">
        <f t="shared" si="133"/>
        <v>0</v>
      </c>
      <c r="T161" s="76">
        <f t="shared" si="133"/>
        <v>12770.100000000002</v>
      </c>
      <c r="U161" s="55">
        <f t="shared" si="133"/>
        <v>0</v>
      </c>
      <c r="V161" s="55">
        <f t="shared" si="133"/>
        <v>0</v>
      </c>
      <c r="W161" s="55">
        <f t="shared" si="133"/>
        <v>0</v>
      </c>
      <c r="X161" s="55">
        <f t="shared" si="133"/>
        <v>0</v>
      </c>
      <c r="Y161" s="106">
        <f t="shared" si="133"/>
        <v>0</v>
      </c>
      <c r="Z161" s="46"/>
      <c r="AA161" s="81"/>
    </row>
    <row r="162" spans="1:27" hidden="1">
      <c r="A162" s="56"/>
      <c r="B162" s="57" t="s">
        <v>38</v>
      </c>
      <c r="C162" s="58">
        <v>903</v>
      </c>
      <c r="D162" s="83" t="s">
        <v>23</v>
      </c>
      <c r="E162" s="58">
        <v>13</v>
      </c>
      <c r="F162" s="58" t="s">
        <v>178</v>
      </c>
      <c r="G162" s="59">
        <v>800</v>
      </c>
      <c r="H162" s="55"/>
      <c r="I162" s="55"/>
      <c r="J162" s="73"/>
      <c r="K162" s="70"/>
      <c r="L162" s="70"/>
      <c r="M162" s="70"/>
      <c r="N162" s="70"/>
      <c r="O162" s="70">
        <f>8375.58+308.8</f>
        <v>8684.3799999999992</v>
      </c>
      <c r="P162" s="55"/>
      <c r="Q162" s="55"/>
      <c r="R162" s="73"/>
      <c r="S162" s="73"/>
      <c r="T162" s="77">
        <f>10000+2242.5+36.2+36.2+36.2-64+483</f>
        <v>12770.100000000002</v>
      </c>
      <c r="U162" s="55">
        <v>0</v>
      </c>
      <c r="V162" s="57"/>
      <c r="W162" s="57"/>
      <c r="X162" s="57"/>
      <c r="Y162" s="106">
        <v>0</v>
      </c>
      <c r="Z162" s="46"/>
      <c r="AA162" s="81"/>
    </row>
    <row r="163" spans="1:27">
      <c r="A163" s="56" t="s">
        <v>21</v>
      </c>
      <c r="B163" s="57" t="s">
        <v>179</v>
      </c>
      <c r="C163" s="58">
        <v>903</v>
      </c>
      <c r="D163" s="58" t="s">
        <v>180</v>
      </c>
      <c r="E163" s="58" t="s">
        <v>21</v>
      </c>
      <c r="F163" s="58" t="s">
        <v>21</v>
      </c>
      <c r="G163" s="59" t="s">
        <v>21</v>
      </c>
      <c r="H163" s="55">
        <f>H164</f>
        <v>2158.1</v>
      </c>
      <c r="I163" s="55">
        <f>I164</f>
        <v>4795.6000000000004</v>
      </c>
      <c r="J163" s="73">
        <f>J164</f>
        <v>2161.4</v>
      </c>
      <c r="K163" s="55">
        <f>K164+K172+K176</f>
        <v>4789.8</v>
      </c>
      <c r="L163" s="55"/>
      <c r="M163" s="55"/>
      <c r="N163" s="55"/>
      <c r="O163" s="70">
        <f t="shared" ref="O163:T163" si="134">O164+O172+O176</f>
        <v>2161.4</v>
      </c>
      <c r="P163" s="55">
        <f t="shared" si="134"/>
        <v>4812.5</v>
      </c>
      <c r="Q163" s="70">
        <f t="shared" si="134"/>
        <v>0</v>
      </c>
      <c r="R163" s="70">
        <f t="shared" si="134"/>
        <v>0</v>
      </c>
      <c r="S163" s="70">
        <f t="shared" si="134"/>
        <v>0</v>
      </c>
      <c r="T163" s="76">
        <f t="shared" si="134"/>
        <v>2161.4</v>
      </c>
      <c r="U163" s="55">
        <f t="shared" ref="U163:Y163" si="135">U164+U172+U176</f>
        <v>0</v>
      </c>
      <c r="V163" s="55">
        <f t="shared" si="135"/>
        <v>0</v>
      </c>
      <c r="W163" s="55">
        <f t="shared" si="135"/>
        <v>0</v>
      </c>
      <c r="X163" s="55">
        <f t="shared" si="135"/>
        <v>4790</v>
      </c>
      <c r="Y163" s="106">
        <f t="shared" si="135"/>
        <v>15323.64</v>
      </c>
      <c r="Z163" s="46"/>
      <c r="AA163" s="81"/>
    </row>
    <row r="164" spans="1:27" ht="37.5">
      <c r="A164" s="56"/>
      <c r="B164" s="57" t="s">
        <v>181</v>
      </c>
      <c r="C164" s="58">
        <v>903</v>
      </c>
      <c r="D164" s="58" t="s">
        <v>180</v>
      </c>
      <c r="E164" s="58" t="s">
        <v>23</v>
      </c>
      <c r="F164" s="58" t="s">
        <v>21</v>
      </c>
      <c r="G164" s="59" t="s">
        <v>21</v>
      </c>
      <c r="H164" s="55">
        <f t="shared" ref="H164:I166" si="136">H165</f>
        <v>2158.1</v>
      </c>
      <c r="I164" s="55">
        <f t="shared" si="136"/>
        <v>4795.6000000000004</v>
      </c>
      <c r="J164" s="73">
        <f>J165+J181</f>
        <v>2161.4</v>
      </c>
      <c r="K164" s="55">
        <f>K165</f>
        <v>4789.8</v>
      </c>
      <c r="L164" s="55"/>
      <c r="M164" s="55"/>
      <c r="N164" s="55"/>
      <c r="O164" s="70">
        <f>O165</f>
        <v>2161.4</v>
      </c>
      <c r="P164" s="55">
        <f t="shared" ref="P164:Y166" si="137">P165</f>
        <v>4812.5</v>
      </c>
      <c r="Q164" s="70">
        <f t="shared" si="137"/>
        <v>0</v>
      </c>
      <c r="R164" s="70">
        <f t="shared" si="137"/>
        <v>0</v>
      </c>
      <c r="S164" s="70">
        <f t="shared" si="137"/>
        <v>0</v>
      </c>
      <c r="T164" s="76">
        <f t="shared" si="137"/>
        <v>2161.4</v>
      </c>
      <c r="U164" s="55">
        <f t="shared" si="137"/>
        <v>0</v>
      </c>
      <c r="V164" s="55">
        <f t="shared" si="137"/>
        <v>0</v>
      </c>
      <c r="W164" s="55">
        <f t="shared" si="137"/>
        <v>0</v>
      </c>
      <c r="X164" s="55">
        <f t="shared" si="137"/>
        <v>4790</v>
      </c>
      <c r="Y164" s="106">
        <f t="shared" si="137"/>
        <v>6951.4</v>
      </c>
      <c r="Z164" s="46"/>
      <c r="AA164" s="81"/>
    </row>
    <row r="165" spans="1:27" ht="37.5">
      <c r="A165" s="56" t="s">
        <v>21</v>
      </c>
      <c r="B165" s="62" t="s">
        <v>182</v>
      </c>
      <c r="C165" s="58">
        <v>903</v>
      </c>
      <c r="D165" s="58">
        <v>14</v>
      </c>
      <c r="E165" s="58" t="s">
        <v>23</v>
      </c>
      <c r="F165" s="58" t="s">
        <v>165</v>
      </c>
      <c r="G165" s="59" t="s">
        <v>21</v>
      </c>
      <c r="H165" s="55">
        <f t="shared" si="136"/>
        <v>2158.1</v>
      </c>
      <c r="I165" s="55">
        <f t="shared" si="136"/>
        <v>4795.6000000000004</v>
      </c>
      <c r="J165" s="73">
        <f>J166</f>
        <v>2161.4</v>
      </c>
      <c r="K165" s="55">
        <f>K166</f>
        <v>4789.8</v>
      </c>
      <c r="L165" s="55"/>
      <c r="M165" s="55"/>
      <c r="N165" s="55"/>
      <c r="O165" s="70">
        <f>O166</f>
        <v>2161.4</v>
      </c>
      <c r="P165" s="55">
        <f t="shared" si="137"/>
        <v>4812.5</v>
      </c>
      <c r="Q165" s="70">
        <f t="shared" si="137"/>
        <v>0</v>
      </c>
      <c r="R165" s="70">
        <f t="shared" si="137"/>
        <v>0</v>
      </c>
      <c r="S165" s="70">
        <f t="shared" si="137"/>
        <v>0</v>
      </c>
      <c r="T165" s="76">
        <f t="shared" si="137"/>
        <v>2161.4</v>
      </c>
      <c r="U165" s="55">
        <f t="shared" si="137"/>
        <v>0</v>
      </c>
      <c r="V165" s="55">
        <f t="shared" si="137"/>
        <v>0</v>
      </c>
      <c r="W165" s="55">
        <f t="shared" si="137"/>
        <v>0</v>
      </c>
      <c r="X165" s="55">
        <f t="shared" si="137"/>
        <v>4790</v>
      </c>
      <c r="Y165" s="106">
        <f t="shared" si="137"/>
        <v>6951.4</v>
      </c>
      <c r="Z165" s="46"/>
      <c r="AA165" s="81"/>
    </row>
    <row r="166" spans="1:27" ht="39" customHeight="1">
      <c r="A166" s="56"/>
      <c r="B166" s="57" t="s">
        <v>183</v>
      </c>
      <c r="C166" s="58">
        <v>903</v>
      </c>
      <c r="D166" s="58">
        <v>14</v>
      </c>
      <c r="E166" s="58" t="s">
        <v>23</v>
      </c>
      <c r="F166" s="58" t="s">
        <v>184</v>
      </c>
      <c r="G166" s="59"/>
      <c r="H166" s="55">
        <f t="shared" si="136"/>
        <v>2158.1</v>
      </c>
      <c r="I166" s="55">
        <f t="shared" si="136"/>
        <v>4795.6000000000004</v>
      </c>
      <c r="J166" s="73">
        <f>J167</f>
        <v>2161.4</v>
      </c>
      <c r="K166" s="55">
        <f>K167</f>
        <v>4789.8</v>
      </c>
      <c r="L166" s="55"/>
      <c r="M166" s="55"/>
      <c r="N166" s="55"/>
      <c r="O166" s="70">
        <f>O167</f>
        <v>2161.4</v>
      </c>
      <c r="P166" s="55">
        <f t="shared" si="137"/>
        <v>4812.5</v>
      </c>
      <c r="Q166" s="70">
        <f t="shared" si="137"/>
        <v>0</v>
      </c>
      <c r="R166" s="70">
        <f t="shared" si="137"/>
        <v>0</v>
      </c>
      <c r="S166" s="70">
        <f t="shared" si="137"/>
        <v>0</v>
      </c>
      <c r="T166" s="76">
        <f t="shared" si="137"/>
        <v>2161.4</v>
      </c>
      <c r="U166" s="55">
        <f t="shared" si="137"/>
        <v>0</v>
      </c>
      <c r="V166" s="55">
        <f t="shared" si="137"/>
        <v>0</v>
      </c>
      <c r="W166" s="55">
        <f t="shared" si="137"/>
        <v>0</v>
      </c>
      <c r="X166" s="55">
        <f t="shared" si="137"/>
        <v>4790</v>
      </c>
      <c r="Y166" s="106">
        <f t="shared" si="137"/>
        <v>6951.4</v>
      </c>
      <c r="Z166" s="46"/>
      <c r="AA166" s="81"/>
    </row>
    <row r="167" spans="1:27">
      <c r="A167" s="56"/>
      <c r="B167" s="57" t="s">
        <v>185</v>
      </c>
      <c r="C167" s="58">
        <v>903</v>
      </c>
      <c r="D167" s="58" t="s">
        <v>180</v>
      </c>
      <c r="E167" s="58" t="s">
        <v>23</v>
      </c>
      <c r="F167" s="58" t="s">
        <v>186</v>
      </c>
      <c r="G167" s="59" t="s">
        <v>21</v>
      </c>
      <c r="H167" s="55">
        <f>H170+H169</f>
        <v>2158.1</v>
      </c>
      <c r="I167" s="55">
        <f>I170+I169</f>
        <v>4795.6000000000004</v>
      </c>
      <c r="J167" s="73">
        <f>J170+J169</f>
        <v>2161.4</v>
      </c>
      <c r="K167" s="55">
        <f>K170+K169</f>
        <v>4789.8</v>
      </c>
      <c r="L167" s="55"/>
      <c r="M167" s="55"/>
      <c r="N167" s="55"/>
      <c r="O167" s="70">
        <f t="shared" ref="O167:T167" si="138">O168+O170</f>
        <v>2161.4</v>
      </c>
      <c r="P167" s="55">
        <f t="shared" si="138"/>
        <v>4812.5</v>
      </c>
      <c r="Q167" s="70">
        <f t="shared" si="138"/>
        <v>0</v>
      </c>
      <c r="R167" s="70">
        <f t="shared" si="138"/>
        <v>0</v>
      </c>
      <c r="S167" s="70">
        <f t="shared" si="138"/>
        <v>0</v>
      </c>
      <c r="T167" s="76">
        <f t="shared" si="138"/>
        <v>2161.4</v>
      </c>
      <c r="U167" s="55">
        <f t="shared" ref="U167:Y167" si="139">U168+U170</f>
        <v>0</v>
      </c>
      <c r="V167" s="55">
        <f t="shared" si="139"/>
        <v>0</v>
      </c>
      <c r="W167" s="55">
        <f t="shared" si="139"/>
        <v>0</v>
      </c>
      <c r="X167" s="55">
        <f t="shared" si="139"/>
        <v>4790</v>
      </c>
      <c r="Y167" s="106">
        <f t="shared" si="139"/>
        <v>6951.4</v>
      </c>
      <c r="Z167" s="46"/>
      <c r="AA167" s="81"/>
    </row>
    <row r="168" spans="1:27" ht="37.5">
      <c r="A168" s="56" t="s">
        <v>21</v>
      </c>
      <c r="B168" s="57" t="s">
        <v>187</v>
      </c>
      <c r="C168" s="58">
        <v>903</v>
      </c>
      <c r="D168" s="58" t="s">
        <v>180</v>
      </c>
      <c r="E168" s="58" t="s">
        <v>23</v>
      </c>
      <c r="F168" s="58" t="s">
        <v>188</v>
      </c>
      <c r="G168" s="59" t="s">
        <v>21</v>
      </c>
      <c r="H168" s="55">
        <f>H169</f>
        <v>0</v>
      </c>
      <c r="I168" s="55">
        <f>I169</f>
        <v>4795.6000000000004</v>
      </c>
      <c r="J168" s="73">
        <f>J169</f>
        <v>0</v>
      </c>
      <c r="K168" s="55">
        <f>K169</f>
        <v>4789.8</v>
      </c>
      <c r="L168" s="55"/>
      <c r="M168" s="55"/>
      <c r="N168" s="55"/>
      <c r="O168" s="70">
        <f t="shared" ref="O168:Y168" si="140">O169</f>
        <v>0</v>
      </c>
      <c r="P168" s="55">
        <f t="shared" si="140"/>
        <v>4812.5</v>
      </c>
      <c r="Q168" s="70">
        <f t="shared" si="140"/>
        <v>0</v>
      </c>
      <c r="R168" s="70">
        <f t="shared" si="140"/>
        <v>0</v>
      </c>
      <c r="S168" s="70">
        <f t="shared" si="140"/>
        <v>0</v>
      </c>
      <c r="T168" s="76">
        <f t="shared" si="140"/>
        <v>0</v>
      </c>
      <c r="U168" s="55">
        <f t="shared" si="140"/>
        <v>0</v>
      </c>
      <c r="V168" s="55">
        <f t="shared" si="140"/>
        <v>0</v>
      </c>
      <c r="W168" s="55">
        <f t="shared" si="140"/>
        <v>0</v>
      </c>
      <c r="X168" s="55">
        <f t="shared" si="140"/>
        <v>4790</v>
      </c>
      <c r="Y168" s="106">
        <f t="shared" si="140"/>
        <v>4790</v>
      </c>
      <c r="Z168" s="46"/>
      <c r="AA168" s="81"/>
    </row>
    <row r="169" spans="1:27">
      <c r="A169" s="56" t="s">
        <v>21</v>
      </c>
      <c r="B169" s="57" t="s">
        <v>179</v>
      </c>
      <c r="C169" s="58">
        <v>903</v>
      </c>
      <c r="D169" s="58" t="s">
        <v>180</v>
      </c>
      <c r="E169" s="58" t="s">
        <v>23</v>
      </c>
      <c r="F169" s="58" t="s">
        <v>188</v>
      </c>
      <c r="G169" s="59" t="s">
        <v>189</v>
      </c>
      <c r="H169" s="55"/>
      <c r="I169" s="55">
        <v>4795.6000000000004</v>
      </c>
      <c r="J169" s="73">
        <v>0</v>
      </c>
      <c r="K169" s="70">
        <v>4789.8</v>
      </c>
      <c r="L169" s="70"/>
      <c r="M169" s="70"/>
      <c r="N169" s="70"/>
      <c r="O169" s="70"/>
      <c r="P169" s="55">
        <v>4812.5</v>
      </c>
      <c r="Q169" s="73"/>
      <c r="R169" s="73"/>
      <c r="S169" s="73"/>
      <c r="T169" s="77"/>
      <c r="U169" s="57"/>
      <c r="V169" s="57"/>
      <c r="W169" s="57"/>
      <c r="X169" s="57">
        <v>4790</v>
      </c>
      <c r="Y169" s="106">
        <f>T169+U169+V169+W169+X169</f>
        <v>4790</v>
      </c>
      <c r="Z169" s="46"/>
      <c r="AA169" s="81"/>
    </row>
    <row r="170" spans="1:27" ht="42" customHeight="1">
      <c r="A170" s="61"/>
      <c r="B170" s="57" t="s">
        <v>190</v>
      </c>
      <c r="C170" s="58">
        <v>903</v>
      </c>
      <c r="D170" s="58" t="s">
        <v>180</v>
      </c>
      <c r="E170" s="58" t="s">
        <v>23</v>
      </c>
      <c r="F170" s="58" t="s">
        <v>191</v>
      </c>
      <c r="G170" s="59" t="s">
        <v>21</v>
      </c>
      <c r="H170" s="55">
        <f>H171</f>
        <v>2158.1</v>
      </c>
      <c r="I170" s="55">
        <f>I171</f>
        <v>0</v>
      </c>
      <c r="J170" s="73">
        <f>J171</f>
        <v>2161.4</v>
      </c>
      <c r="K170" s="55">
        <f>K171</f>
        <v>0</v>
      </c>
      <c r="L170" s="55"/>
      <c r="M170" s="55"/>
      <c r="N170" s="55"/>
      <c r="O170" s="70">
        <f t="shared" ref="O170:Y170" si="141">O171</f>
        <v>2161.4</v>
      </c>
      <c r="P170" s="55">
        <f t="shared" si="141"/>
        <v>0</v>
      </c>
      <c r="Q170" s="70">
        <f t="shared" si="141"/>
        <v>0</v>
      </c>
      <c r="R170" s="70">
        <f t="shared" si="141"/>
        <v>0</v>
      </c>
      <c r="S170" s="70">
        <f t="shared" si="141"/>
        <v>0</v>
      </c>
      <c r="T170" s="76">
        <f t="shared" si="141"/>
        <v>2161.4</v>
      </c>
      <c r="U170" s="55">
        <f t="shared" si="141"/>
        <v>0</v>
      </c>
      <c r="V170" s="55">
        <f t="shared" si="141"/>
        <v>0</v>
      </c>
      <c r="W170" s="55">
        <f t="shared" si="141"/>
        <v>0</v>
      </c>
      <c r="X170" s="55">
        <f t="shared" si="141"/>
        <v>0</v>
      </c>
      <c r="Y170" s="106">
        <f t="shared" si="141"/>
        <v>2161.4</v>
      </c>
      <c r="Z170" s="46"/>
      <c r="AA170" s="81"/>
    </row>
    <row r="171" spans="1:27" ht="23.25" customHeight="1">
      <c r="A171" s="56" t="s">
        <v>21</v>
      </c>
      <c r="B171" s="57" t="s">
        <v>179</v>
      </c>
      <c r="C171" s="58">
        <v>903</v>
      </c>
      <c r="D171" s="58" t="s">
        <v>180</v>
      </c>
      <c r="E171" s="58" t="s">
        <v>23</v>
      </c>
      <c r="F171" s="58" t="s">
        <v>191</v>
      </c>
      <c r="G171" s="59" t="s">
        <v>189</v>
      </c>
      <c r="H171" s="55">
        <v>2158.1</v>
      </c>
      <c r="I171" s="55"/>
      <c r="J171" s="73">
        <v>2161.4</v>
      </c>
      <c r="K171" s="70"/>
      <c r="L171" s="70"/>
      <c r="M171" s="70"/>
      <c r="N171" s="70"/>
      <c r="O171" s="70">
        <v>2161.4</v>
      </c>
      <c r="P171" s="55"/>
      <c r="Q171" s="73"/>
      <c r="R171" s="73"/>
      <c r="S171" s="73"/>
      <c r="T171" s="77">
        <v>2161.4</v>
      </c>
      <c r="U171" s="57"/>
      <c r="V171" s="57"/>
      <c r="W171" s="57"/>
      <c r="X171" s="57"/>
      <c r="Y171" s="106">
        <f>T171+U171+V171+W171+X171</f>
        <v>2161.4</v>
      </c>
      <c r="Z171" s="46"/>
      <c r="AA171" s="81"/>
    </row>
    <row r="172" spans="1:27" ht="19.5" customHeight="1">
      <c r="A172" s="56"/>
      <c r="B172" s="57" t="s">
        <v>192</v>
      </c>
      <c r="C172" s="58">
        <v>903</v>
      </c>
      <c r="D172" s="58" t="s">
        <v>180</v>
      </c>
      <c r="E172" s="83" t="s">
        <v>193</v>
      </c>
      <c r="F172" s="58"/>
      <c r="G172" s="59"/>
      <c r="H172" s="55"/>
      <c r="I172" s="55"/>
      <c r="J172" s="73"/>
      <c r="K172" s="70">
        <f>K174</f>
        <v>0</v>
      </c>
      <c r="L172" s="70"/>
      <c r="M172" s="70"/>
      <c r="N172" s="70"/>
      <c r="O172" s="70">
        <f t="shared" ref="O172:T173" si="142">O173</f>
        <v>0</v>
      </c>
      <c r="P172" s="55">
        <f t="shared" si="142"/>
        <v>0</v>
      </c>
      <c r="Q172" s="55">
        <f t="shared" si="142"/>
        <v>0</v>
      </c>
      <c r="R172" s="55">
        <f t="shared" si="142"/>
        <v>0</v>
      </c>
      <c r="S172" s="55">
        <f t="shared" si="142"/>
        <v>0</v>
      </c>
      <c r="T172" s="77">
        <f t="shared" si="142"/>
        <v>0</v>
      </c>
      <c r="U172" s="57">
        <f t="shared" ref="U172:Y174" si="143">U173</f>
        <v>0</v>
      </c>
      <c r="V172" s="57">
        <f t="shared" si="143"/>
        <v>0</v>
      </c>
      <c r="W172" s="57">
        <f t="shared" si="143"/>
        <v>0</v>
      </c>
      <c r="X172" s="57">
        <f t="shared" si="143"/>
        <v>0</v>
      </c>
      <c r="Y172" s="106">
        <f t="shared" si="143"/>
        <v>2020</v>
      </c>
      <c r="Z172" s="46"/>
      <c r="AA172" s="81"/>
    </row>
    <row r="173" spans="1:27" ht="19.5" customHeight="1">
      <c r="A173" s="56"/>
      <c r="B173" s="57" t="s">
        <v>26</v>
      </c>
      <c r="C173" s="58">
        <v>903</v>
      </c>
      <c r="D173" s="58" t="s">
        <v>180</v>
      </c>
      <c r="E173" s="83" t="s">
        <v>193</v>
      </c>
      <c r="F173" s="58" t="s">
        <v>27</v>
      </c>
      <c r="G173" s="59"/>
      <c r="H173" s="55"/>
      <c r="I173" s="55"/>
      <c r="J173" s="73"/>
      <c r="K173" s="70"/>
      <c r="L173" s="70"/>
      <c r="M173" s="70"/>
      <c r="N173" s="70"/>
      <c r="O173" s="70">
        <f t="shared" si="142"/>
        <v>0</v>
      </c>
      <c r="P173" s="55">
        <f t="shared" si="142"/>
        <v>0</v>
      </c>
      <c r="Q173" s="55">
        <f t="shared" si="142"/>
        <v>0</v>
      </c>
      <c r="R173" s="55">
        <f t="shared" si="142"/>
        <v>0</v>
      </c>
      <c r="S173" s="55">
        <f t="shared" si="142"/>
        <v>0</v>
      </c>
      <c r="T173" s="77">
        <f t="shared" si="142"/>
        <v>0</v>
      </c>
      <c r="U173" s="57">
        <f t="shared" si="143"/>
        <v>0</v>
      </c>
      <c r="V173" s="57">
        <f t="shared" si="143"/>
        <v>0</v>
      </c>
      <c r="W173" s="57">
        <f t="shared" si="143"/>
        <v>0</v>
      </c>
      <c r="X173" s="57">
        <f t="shared" si="143"/>
        <v>0</v>
      </c>
      <c r="Y173" s="106">
        <f t="shared" si="143"/>
        <v>2020</v>
      </c>
      <c r="Z173" s="46"/>
      <c r="AA173" s="81"/>
    </row>
    <row r="174" spans="1:27" ht="36" customHeight="1">
      <c r="A174" s="56"/>
      <c r="B174" s="57" t="s">
        <v>148</v>
      </c>
      <c r="C174" s="58">
        <v>903</v>
      </c>
      <c r="D174" s="58" t="s">
        <v>180</v>
      </c>
      <c r="E174" s="83" t="s">
        <v>193</v>
      </c>
      <c r="F174" s="58" t="s">
        <v>149</v>
      </c>
      <c r="G174" s="59"/>
      <c r="H174" s="55"/>
      <c r="I174" s="55"/>
      <c r="J174" s="73"/>
      <c r="K174" s="70">
        <f>K175</f>
        <v>0</v>
      </c>
      <c r="L174" s="70"/>
      <c r="M174" s="70"/>
      <c r="N174" s="70"/>
      <c r="O174" s="70">
        <f t="shared" ref="O174:T174" si="144">O175</f>
        <v>0</v>
      </c>
      <c r="P174" s="55">
        <f t="shared" si="144"/>
        <v>0</v>
      </c>
      <c r="Q174" s="55">
        <f t="shared" si="144"/>
        <v>0</v>
      </c>
      <c r="R174" s="55">
        <f t="shared" si="144"/>
        <v>0</v>
      </c>
      <c r="S174" s="55">
        <f t="shared" si="144"/>
        <v>0</v>
      </c>
      <c r="T174" s="76">
        <f t="shared" si="144"/>
        <v>0</v>
      </c>
      <c r="U174" s="57">
        <f t="shared" si="143"/>
        <v>0</v>
      </c>
      <c r="V174" s="57">
        <f t="shared" si="143"/>
        <v>0</v>
      </c>
      <c r="W174" s="57">
        <f t="shared" si="143"/>
        <v>0</v>
      </c>
      <c r="X174" s="57">
        <f t="shared" si="143"/>
        <v>0</v>
      </c>
      <c r="Y174" s="106">
        <f t="shared" si="143"/>
        <v>2020</v>
      </c>
      <c r="Z174" s="46"/>
      <c r="AA174" s="81"/>
    </row>
    <row r="175" spans="1:27" ht="18" customHeight="1">
      <c r="A175" s="56"/>
      <c r="B175" s="57" t="s">
        <v>179</v>
      </c>
      <c r="C175" s="58">
        <v>903</v>
      </c>
      <c r="D175" s="58" t="s">
        <v>180</v>
      </c>
      <c r="E175" s="83" t="s">
        <v>193</v>
      </c>
      <c r="F175" s="58" t="s">
        <v>149</v>
      </c>
      <c r="G175" s="59">
        <v>500</v>
      </c>
      <c r="H175" s="55"/>
      <c r="I175" s="55"/>
      <c r="J175" s="73"/>
      <c r="K175" s="70"/>
      <c r="L175" s="70"/>
      <c r="M175" s="70"/>
      <c r="N175" s="70"/>
      <c r="O175" s="70"/>
      <c r="P175" s="55"/>
      <c r="Q175" s="73"/>
      <c r="R175" s="73"/>
      <c r="S175" s="73">
        <v>0</v>
      </c>
      <c r="T175" s="77">
        <f>O175+P175+Q175+R175+S175</f>
        <v>0</v>
      </c>
      <c r="U175" s="57"/>
      <c r="V175" s="57"/>
      <c r="W175" s="57"/>
      <c r="X175" s="57"/>
      <c r="Y175" s="106">
        <v>2020</v>
      </c>
      <c r="Z175" s="46"/>
      <c r="AA175" s="81"/>
    </row>
    <row r="176" spans="1:27" ht="26.25" customHeight="1">
      <c r="A176" s="56"/>
      <c r="B176" s="57" t="s">
        <v>194</v>
      </c>
      <c r="C176" s="58">
        <v>903</v>
      </c>
      <c r="D176" s="58">
        <v>14</v>
      </c>
      <c r="E176" s="83" t="s">
        <v>25</v>
      </c>
      <c r="F176" s="58"/>
      <c r="G176" s="59"/>
      <c r="H176" s="55"/>
      <c r="I176" s="55"/>
      <c r="J176" s="73"/>
      <c r="K176" s="70">
        <f>K179+K181</f>
        <v>0</v>
      </c>
      <c r="L176" s="70"/>
      <c r="M176" s="70"/>
      <c r="N176" s="70"/>
      <c r="O176" s="70">
        <f t="shared" ref="O176:Y176" si="145">O177+O181</f>
        <v>0</v>
      </c>
      <c r="P176" s="55">
        <f t="shared" si="145"/>
        <v>0</v>
      </c>
      <c r="Q176" s="70">
        <f t="shared" si="145"/>
        <v>0</v>
      </c>
      <c r="R176" s="70">
        <f t="shared" si="145"/>
        <v>0</v>
      </c>
      <c r="S176" s="70">
        <f t="shared" si="145"/>
        <v>0</v>
      </c>
      <c r="T176" s="76">
        <f t="shared" si="145"/>
        <v>0</v>
      </c>
      <c r="U176" s="55">
        <f t="shared" si="145"/>
        <v>0</v>
      </c>
      <c r="V176" s="55">
        <f t="shared" si="145"/>
        <v>0</v>
      </c>
      <c r="W176" s="55">
        <f t="shared" si="145"/>
        <v>0</v>
      </c>
      <c r="X176" s="55">
        <f t="shared" si="145"/>
        <v>0</v>
      </c>
      <c r="Y176" s="106">
        <f t="shared" si="145"/>
        <v>6352.2400000000007</v>
      </c>
      <c r="Z176" s="46"/>
      <c r="AA176" s="81"/>
    </row>
    <row r="177" spans="1:27" ht="42" customHeight="1">
      <c r="A177" s="56"/>
      <c r="B177" s="57" t="s">
        <v>164</v>
      </c>
      <c r="C177" s="58">
        <v>903</v>
      </c>
      <c r="D177" s="58">
        <v>14</v>
      </c>
      <c r="E177" s="83" t="s">
        <v>25</v>
      </c>
      <c r="F177" s="58" t="s">
        <v>165</v>
      </c>
      <c r="G177" s="59"/>
      <c r="H177" s="55"/>
      <c r="I177" s="55"/>
      <c r="J177" s="73"/>
      <c r="K177" s="70"/>
      <c r="L177" s="70"/>
      <c r="M177" s="70"/>
      <c r="N177" s="70"/>
      <c r="O177" s="70">
        <f t="shared" ref="O177:X177" si="146">O179</f>
        <v>0</v>
      </c>
      <c r="P177" s="55">
        <f t="shared" si="146"/>
        <v>0</v>
      </c>
      <c r="Q177" s="70">
        <f t="shared" si="146"/>
        <v>0</v>
      </c>
      <c r="R177" s="70">
        <f t="shared" si="146"/>
        <v>0</v>
      </c>
      <c r="S177" s="70">
        <f t="shared" si="146"/>
        <v>0</v>
      </c>
      <c r="T177" s="76">
        <f t="shared" si="146"/>
        <v>0</v>
      </c>
      <c r="U177" s="55">
        <f t="shared" si="146"/>
        <v>0</v>
      </c>
      <c r="V177" s="55">
        <f t="shared" si="146"/>
        <v>0</v>
      </c>
      <c r="W177" s="55">
        <f t="shared" si="146"/>
        <v>0</v>
      </c>
      <c r="X177" s="55">
        <f t="shared" si="146"/>
        <v>0</v>
      </c>
      <c r="Y177" s="106">
        <f>Y178</f>
        <v>5086.5200000000004</v>
      </c>
      <c r="Z177" s="46"/>
      <c r="AA177" s="81"/>
    </row>
    <row r="178" spans="1:27" ht="24" customHeight="1">
      <c r="A178" s="56"/>
      <c r="B178" s="57" t="s">
        <v>185</v>
      </c>
      <c r="C178" s="58">
        <v>903</v>
      </c>
      <c r="D178" s="58">
        <v>14</v>
      </c>
      <c r="E178" s="83" t="s">
        <v>25</v>
      </c>
      <c r="F178" s="58" t="s">
        <v>195</v>
      </c>
      <c r="G178" s="59"/>
      <c r="H178" s="55"/>
      <c r="I178" s="55"/>
      <c r="J178" s="73"/>
      <c r="K178" s="70"/>
      <c r="L178" s="70"/>
      <c r="M178" s="70"/>
      <c r="N178" s="70"/>
      <c r="O178" s="70"/>
      <c r="P178" s="55"/>
      <c r="Q178" s="70"/>
      <c r="R178" s="70"/>
      <c r="S178" s="70"/>
      <c r="T178" s="76"/>
      <c r="U178" s="55"/>
      <c r="V178" s="55"/>
      <c r="W178" s="55"/>
      <c r="X178" s="55"/>
      <c r="Y178" s="106">
        <f>Y179</f>
        <v>5086.5200000000004</v>
      </c>
      <c r="Z178" s="46"/>
      <c r="AA178" s="81"/>
    </row>
    <row r="179" spans="1:27" ht="45" customHeight="1">
      <c r="A179" s="56"/>
      <c r="B179" s="57" t="s">
        <v>196</v>
      </c>
      <c r="C179" s="58">
        <v>903</v>
      </c>
      <c r="D179" s="58">
        <v>14</v>
      </c>
      <c r="E179" s="83" t="s">
        <v>25</v>
      </c>
      <c r="F179" s="58" t="s">
        <v>197</v>
      </c>
      <c r="G179" s="59"/>
      <c r="H179" s="55"/>
      <c r="I179" s="55"/>
      <c r="J179" s="73"/>
      <c r="K179" s="70"/>
      <c r="L179" s="70"/>
      <c r="M179" s="70"/>
      <c r="N179" s="70"/>
      <c r="O179" s="70">
        <f t="shared" ref="O179:Y179" si="147">O180</f>
        <v>0</v>
      </c>
      <c r="P179" s="55">
        <f t="shared" si="147"/>
        <v>0</v>
      </c>
      <c r="Q179" s="70">
        <f t="shared" si="147"/>
        <v>0</v>
      </c>
      <c r="R179" s="70">
        <f t="shared" si="147"/>
        <v>0</v>
      </c>
      <c r="S179" s="70">
        <f t="shared" si="147"/>
        <v>0</v>
      </c>
      <c r="T179" s="76">
        <f t="shared" si="147"/>
        <v>0</v>
      </c>
      <c r="U179" s="55">
        <f t="shared" si="147"/>
        <v>0</v>
      </c>
      <c r="V179" s="55">
        <f t="shared" si="147"/>
        <v>0</v>
      </c>
      <c r="W179" s="55">
        <f t="shared" si="147"/>
        <v>0</v>
      </c>
      <c r="X179" s="55">
        <f t="shared" si="147"/>
        <v>0</v>
      </c>
      <c r="Y179" s="106">
        <f t="shared" si="147"/>
        <v>5086.5200000000004</v>
      </c>
      <c r="Z179" s="46"/>
      <c r="AA179" s="81"/>
    </row>
    <row r="180" spans="1:27" ht="21" customHeight="1">
      <c r="A180" s="56"/>
      <c r="B180" s="57" t="s">
        <v>179</v>
      </c>
      <c r="C180" s="58">
        <v>903</v>
      </c>
      <c r="D180" s="58">
        <v>14</v>
      </c>
      <c r="E180" s="83" t="s">
        <v>25</v>
      </c>
      <c r="F180" s="58" t="s">
        <v>197</v>
      </c>
      <c r="G180" s="59">
        <v>500</v>
      </c>
      <c r="H180" s="55"/>
      <c r="I180" s="55"/>
      <c r="J180" s="73"/>
      <c r="K180" s="70"/>
      <c r="L180" s="70"/>
      <c r="M180" s="70"/>
      <c r="N180" s="70"/>
      <c r="O180" s="70"/>
      <c r="P180" s="55">
        <v>0</v>
      </c>
      <c r="Q180" s="55">
        <v>0</v>
      </c>
      <c r="R180" s="55">
        <v>0</v>
      </c>
      <c r="S180" s="73"/>
      <c r="T180" s="77">
        <f>O180+P180+Q180+R180+S180</f>
        <v>0</v>
      </c>
      <c r="U180" s="55"/>
      <c r="V180" s="55">
        <v>0</v>
      </c>
      <c r="W180" s="55"/>
      <c r="X180" s="55"/>
      <c r="Y180" s="106">
        <v>5086.5200000000004</v>
      </c>
      <c r="Z180" s="46"/>
      <c r="AA180" s="81"/>
    </row>
    <row r="181" spans="1:27" ht="37.5">
      <c r="A181" s="56"/>
      <c r="B181" s="60" t="s">
        <v>41</v>
      </c>
      <c r="C181" s="58">
        <v>903</v>
      </c>
      <c r="D181" s="58" t="s">
        <v>180</v>
      </c>
      <c r="E181" s="83" t="s">
        <v>25</v>
      </c>
      <c r="F181" s="58" t="s">
        <v>42</v>
      </c>
      <c r="G181" s="59"/>
      <c r="H181" s="55"/>
      <c r="I181" s="55"/>
      <c r="J181" s="73">
        <f>J182</f>
        <v>0</v>
      </c>
      <c r="K181" s="70">
        <f>K182</f>
        <v>0</v>
      </c>
      <c r="L181" s="70"/>
      <c r="M181" s="70"/>
      <c r="N181" s="70"/>
      <c r="O181" s="70">
        <f t="shared" ref="O181:T182" si="148">O182</f>
        <v>0</v>
      </c>
      <c r="P181" s="55">
        <f t="shared" si="148"/>
        <v>0</v>
      </c>
      <c r="Q181" s="70">
        <f t="shared" si="148"/>
        <v>0</v>
      </c>
      <c r="R181" s="70">
        <f t="shared" si="148"/>
        <v>0</v>
      </c>
      <c r="S181" s="70">
        <f t="shared" si="148"/>
        <v>0</v>
      </c>
      <c r="T181" s="76">
        <f t="shared" si="148"/>
        <v>0</v>
      </c>
      <c r="U181" s="55">
        <f t="shared" ref="U181:Y182" si="149">U182</f>
        <v>0</v>
      </c>
      <c r="V181" s="55">
        <f t="shared" si="149"/>
        <v>0</v>
      </c>
      <c r="W181" s="55">
        <f t="shared" si="149"/>
        <v>0</v>
      </c>
      <c r="X181" s="55">
        <f t="shared" si="149"/>
        <v>0</v>
      </c>
      <c r="Y181" s="106">
        <f t="shared" si="149"/>
        <v>1265.72</v>
      </c>
      <c r="Z181" s="46"/>
      <c r="AA181" s="81"/>
    </row>
    <row r="182" spans="1:27">
      <c r="A182" s="56"/>
      <c r="B182" s="57" t="s">
        <v>174</v>
      </c>
      <c r="C182" s="58">
        <v>903</v>
      </c>
      <c r="D182" s="58" t="s">
        <v>180</v>
      </c>
      <c r="E182" s="83" t="s">
        <v>25</v>
      </c>
      <c r="F182" s="58" t="s">
        <v>175</v>
      </c>
      <c r="G182" s="59" t="s">
        <v>21</v>
      </c>
      <c r="H182" s="55"/>
      <c r="I182" s="55"/>
      <c r="J182" s="73">
        <f>J183</f>
        <v>0</v>
      </c>
      <c r="K182" s="70">
        <f>K183</f>
        <v>0</v>
      </c>
      <c r="L182" s="70"/>
      <c r="M182" s="70"/>
      <c r="N182" s="70"/>
      <c r="O182" s="70">
        <f t="shared" si="148"/>
        <v>0</v>
      </c>
      <c r="P182" s="55">
        <f t="shared" si="148"/>
        <v>0</v>
      </c>
      <c r="Q182" s="70">
        <f t="shared" si="148"/>
        <v>0</v>
      </c>
      <c r="R182" s="70">
        <f t="shared" si="148"/>
        <v>0</v>
      </c>
      <c r="S182" s="70">
        <f t="shared" si="148"/>
        <v>0</v>
      </c>
      <c r="T182" s="76">
        <f t="shared" si="148"/>
        <v>0</v>
      </c>
      <c r="U182" s="55">
        <f t="shared" si="149"/>
        <v>0</v>
      </c>
      <c r="V182" s="55">
        <f t="shared" si="149"/>
        <v>0</v>
      </c>
      <c r="W182" s="55">
        <f t="shared" si="149"/>
        <v>0</v>
      </c>
      <c r="X182" s="55">
        <f t="shared" si="149"/>
        <v>0</v>
      </c>
      <c r="Y182" s="106">
        <f t="shared" si="149"/>
        <v>1265.72</v>
      </c>
      <c r="Z182" s="46"/>
      <c r="AA182" s="81"/>
    </row>
    <row r="183" spans="1:27">
      <c r="A183" s="56"/>
      <c r="B183" s="57" t="s">
        <v>179</v>
      </c>
      <c r="C183" s="58">
        <v>903</v>
      </c>
      <c r="D183" s="58" t="s">
        <v>180</v>
      </c>
      <c r="E183" s="83" t="s">
        <v>25</v>
      </c>
      <c r="F183" s="58" t="s">
        <v>175</v>
      </c>
      <c r="G183" s="59" t="s">
        <v>189</v>
      </c>
      <c r="H183" s="55"/>
      <c r="I183" s="55"/>
      <c r="J183" s="73">
        <v>0</v>
      </c>
      <c r="K183" s="70"/>
      <c r="L183" s="70"/>
      <c r="M183" s="70"/>
      <c r="N183" s="70"/>
      <c r="O183" s="70">
        <f>J183+K183+M183+N183+L183</f>
        <v>0</v>
      </c>
      <c r="P183" s="55"/>
      <c r="Q183" s="73"/>
      <c r="R183" s="73"/>
      <c r="S183" s="73"/>
      <c r="T183" s="77"/>
      <c r="U183" s="55">
        <v>0</v>
      </c>
      <c r="V183" s="57"/>
      <c r="W183" s="57"/>
      <c r="X183" s="57"/>
      <c r="Y183" s="106">
        <f>1184.72+81</f>
        <v>1265.72</v>
      </c>
      <c r="Z183" s="46"/>
      <c r="AA183" s="81"/>
    </row>
    <row r="184" spans="1:27" ht="36" customHeight="1">
      <c r="A184" s="61">
        <v>4</v>
      </c>
      <c r="B184" s="52" t="s">
        <v>198</v>
      </c>
      <c r="C184" s="53">
        <v>905</v>
      </c>
      <c r="D184" s="53" t="s">
        <v>21</v>
      </c>
      <c r="E184" s="53" t="s">
        <v>21</v>
      </c>
      <c r="F184" s="53" t="s">
        <v>21</v>
      </c>
      <c r="G184" s="54" t="s">
        <v>21</v>
      </c>
      <c r="H184" s="55" t="e">
        <f>H189+H361</f>
        <v>#REF!</v>
      </c>
      <c r="I184" s="55" t="e">
        <f>I189+I361</f>
        <v>#REF!</v>
      </c>
      <c r="J184" s="71" t="e">
        <f>J189+J361</f>
        <v>#REF!</v>
      </c>
      <c r="K184" s="71" t="e">
        <f>K189+K361</f>
        <v>#REF!</v>
      </c>
      <c r="L184" s="72"/>
      <c r="M184" s="68"/>
      <c r="N184" s="68"/>
      <c r="O184" s="69" t="e">
        <f t="shared" ref="O184:Y184" si="150">O189+O361+O185</f>
        <v>#REF!</v>
      </c>
      <c r="P184" s="68" t="e">
        <f t="shared" si="150"/>
        <v>#REF!</v>
      </c>
      <c r="Q184" s="69" t="e">
        <f t="shared" si="150"/>
        <v>#REF!</v>
      </c>
      <c r="R184" s="69" t="e">
        <f t="shared" si="150"/>
        <v>#REF!</v>
      </c>
      <c r="S184" s="69" t="e">
        <f t="shared" si="150"/>
        <v>#REF!</v>
      </c>
      <c r="T184" s="75" t="e">
        <f t="shared" si="150"/>
        <v>#REF!</v>
      </c>
      <c r="U184" s="71" t="e">
        <f t="shared" si="150"/>
        <v>#REF!</v>
      </c>
      <c r="V184" s="71" t="e">
        <f t="shared" si="150"/>
        <v>#REF!</v>
      </c>
      <c r="W184" s="71" t="e">
        <f t="shared" si="150"/>
        <v>#REF!</v>
      </c>
      <c r="X184" s="71" t="e">
        <f t="shared" si="150"/>
        <v>#REF!</v>
      </c>
      <c r="Y184" s="103">
        <f t="shared" si="150"/>
        <v>727332.48427999998</v>
      </c>
      <c r="Z184" s="46"/>
      <c r="AA184" s="81"/>
    </row>
    <row r="185" spans="1:27" ht="16.5" hidden="1" customHeight="1">
      <c r="A185" s="61"/>
      <c r="B185" s="57" t="s">
        <v>40</v>
      </c>
      <c r="C185" s="58">
        <v>905</v>
      </c>
      <c r="D185" s="58" t="s">
        <v>23</v>
      </c>
      <c r="E185" s="58">
        <v>13</v>
      </c>
      <c r="F185" s="58"/>
      <c r="G185" s="59"/>
      <c r="H185" s="55"/>
      <c r="I185" s="55"/>
      <c r="J185" s="71"/>
      <c r="K185" s="71"/>
      <c r="L185" s="72"/>
      <c r="M185" s="68"/>
      <c r="N185" s="68"/>
      <c r="O185" s="70">
        <f t="shared" ref="O185:Y187" si="151">O186</f>
        <v>0</v>
      </c>
      <c r="P185" s="55">
        <f t="shared" si="151"/>
        <v>0</v>
      </c>
      <c r="Q185" s="70">
        <f t="shared" si="151"/>
        <v>0</v>
      </c>
      <c r="R185" s="70">
        <f t="shared" si="151"/>
        <v>0</v>
      </c>
      <c r="S185" s="70">
        <f t="shared" si="151"/>
        <v>0</v>
      </c>
      <c r="T185" s="76">
        <f t="shared" si="151"/>
        <v>0</v>
      </c>
      <c r="U185" s="55">
        <f t="shared" si="151"/>
        <v>0</v>
      </c>
      <c r="V185" s="55">
        <f t="shared" si="151"/>
        <v>0</v>
      </c>
      <c r="W185" s="55">
        <f t="shared" si="151"/>
        <v>0</v>
      </c>
      <c r="X185" s="55">
        <f t="shared" si="151"/>
        <v>0</v>
      </c>
      <c r="Y185" s="106">
        <f t="shared" si="151"/>
        <v>0</v>
      </c>
      <c r="Z185" s="46"/>
      <c r="AA185" s="81"/>
    </row>
    <row r="186" spans="1:27" ht="37.5" hidden="1">
      <c r="A186" s="61"/>
      <c r="B186" s="60" t="s">
        <v>41</v>
      </c>
      <c r="C186" s="58">
        <v>905</v>
      </c>
      <c r="D186" s="58" t="s">
        <v>23</v>
      </c>
      <c r="E186" s="58">
        <v>13</v>
      </c>
      <c r="F186" s="58" t="s">
        <v>42</v>
      </c>
      <c r="G186" s="59" t="s">
        <v>21</v>
      </c>
      <c r="H186" s="55"/>
      <c r="I186" s="55"/>
      <c r="J186" s="71"/>
      <c r="K186" s="71"/>
      <c r="L186" s="72"/>
      <c r="M186" s="68"/>
      <c r="N186" s="68"/>
      <c r="O186" s="70">
        <f t="shared" si="151"/>
        <v>0</v>
      </c>
      <c r="P186" s="55">
        <f t="shared" si="151"/>
        <v>0</v>
      </c>
      <c r="Q186" s="70">
        <f t="shared" si="151"/>
        <v>0</v>
      </c>
      <c r="R186" s="70">
        <f t="shared" si="151"/>
        <v>0</v>
      </c>
      <c r="S186" s="70">
        <f t="shared" si="151"/>
        <v>0</v>
      </c>
      <c r="T186" s="76">
        <f t="shared" si="151"/>
        <v>0</v>
      </c>
      <c r="U186" s="55">
        <f t="shared" si="151"/>
        <v>0</v>
      </c>
      <c r="V186" s="55">
        <f t="shared" si="151"/>
        <v>0</v>
      </c>
      <c r="W186" s="55">
        <f t="shared" si="151"/>
        <v>0</v>
      </c>
      <c r="X186" s="55">
        <f t="shared" si="151"/>
        <v>0</v>
      </c>
      <c r="Y186" s="106">
        <f t="shared" si="151"/>
        <v>0</v>
      </c>
      <c r="Z186" s="46"/>
      <c r="AA186" s="81"/>
    </row>
    <row r="187" spans="1:27" ht="37.5" hidden="1">
      <c r="A187" s="61"/>
      <c r="B187" s="57" t="s">
        <v>43</v>
      </c>
      <c r="C187" s="58">
        <v>905</v>
      </c>
      <c r="D187" s="58" t="s">
        <v>23</v>
      </c>
      <c r="E187" s="58">
        <v>13</v>
      </c>
      <c r="F187" s="58" t="s">
        <v>44</v>
      </c>
      <c r="G187" s="59" t="s">
        <v>21</v>
      </c>
      <c r="H187" s="55"/>
      <c r="I187" s="55"/>
      <c r="J187" s="71"/>
      <c r="K187" s="71"/>
      <c r="L187" s="72"/>
      <c r="M187" s="68"/>
      <c r="N187" s="68"/>
      <c r="O187" s="70">
        <f t="shared" si="151"/>
        <v>0</v>
      </c>
      <c r="P187" s="55">
        <f t="shared" si="151"/>
        <v>0</v>
      </c>
      <c r="Q187" s="70">
        <f t="shared" si="151"/>
        <v>0</v>
      </c>
      <c r="R187" s="70">
        <f t="shared" si="151"/>
        <v>0</v>
      </c>
      <c r="S187" s="70">
        <f t="shared" si="151"/>
        <v>0</v>
      </c>
      <c r="T187" s="76">
        <f t="shared" si="151"/>
        <v>0</v>
      </c>
      <c r="U187" s="55">
        <f t="shared" si="151"/>
        <v>0</v>
      </c>
      <c r="V187" s="55">
        <f t="shared" si="151"/>
        <v>0</v>
      </c>
      <c r="W187" s="55">
        <f t="shared" si="151"/>
        <v>0</v>
      </c>
      <c r="X187" s="55">
        <f t="shared" si="151"/>
        <v>0</v>
      </c>
      <c r="Y187" s="106">
        <f t="shared" si="151"/>
        <v>0</v>
      </c>
      <c r="Z187" s="46"/>
      <c r="AA187" s="81"/>
    </row>
    <row r="188" spans="1:27" hidden="1">
      <c r="A188" s="61"/>
      <c r="B188" s="57" t="s">
        <v>45</v>
      </c>
      <c r="C188" s="58">
        <v>905</v>
      </c>
      <c r="D188" s="58" t="s">
        <v>23</v>
      </c>
      <c r="E188" s="58">
        <v>13</v>
      </c>
      <c r="F188" s="58" t="s">
        <v>44</v>
      </c>
      <c r="G188" s="59">
        <v>300</v>
      </c>
      <c r="H188" s="55"/>
      <c r="I188" s="55"/>
      <c r="J188" s="71"/>
      <c r="K188" s="71"/>
      <c r="L188" s="72"/>
      <c r="M188" s="68"/>
      <c r="N188" s="68"/>
      <c r="O188" s="70"/>
      <c r="P188" s="55">
        <v>0</v>
      </c>
      <c r="Q188" s="70"/>
      <c r="R188" s="70"/>
      <c r="S188" s="70"/>
      <c r="T188" s="76">
        <f>O188+P188+Q188+R188+S188</f>
        <v>0</v>
      </c>
      <c r="U188" s="55">
        <f t="shared" ref="U188:Y188" si="152">P188+Q188+R188+S188+T188</f>
        <v>0</v>
      </c>
      <c r="V188" s="55">
        <f t="shared" si="152"/>
        <v>0</v>
      </c>
      <c r="W188" s="55">
        <f t="shared" si="152"/>
        <v>0</v>
      </c>
      <c r="X188" s="55">
        <f t="shared" si="152"/>
        <v>0</v>
      </c>
      <c r="Y188" s="106">
        <f t="shared" si="152"/>
        <v>0</v>
      </c>
      <c r="Z188" s="46"/>
      <c r="AA188" s="81"/>
    </row>
    <row r="189" spans="1:27">
      <c r="A189" s="56" t="s">
        <v>21</v>
      </c>
      <c r="B189" s="57" t="s">
        <v>199</v>
      </c>
      <c r="C189" s="58">
        <v>905</v>
      </c>
      <c r="D189" s="58" t="s">
        <v>200</v>
      </c>
      <c r="E189" s="58" t="s">
        <v>21</v>
      </c>
      <c r="F189" s="58" t="s">
        <v>21</v>
      </c>
      <c r="G189" s="59" t="s">
        <v>21</v>
      </c>
      <c r="H189" s="55" t="e">
        <f>H190+H221+H281+#REF!+H314</f>
        <v>#REF!</v>
      </c>
      <c r="I189" s="55" t="e">
        <f>I190+I221+I281+#REF!+I314</f>
        <v>#REF!</v>
      </c>
      <c r="J189" s="73" t="e">
        <f>J190+J221+J281+#REF!+J314</f>
        <v>#REF!</v>
      </c>
      <c r="K189" s="55" t="e">
        <f>K190+K221+K281+#REF!+K314</f>
        <v>#REF!</v>
      </c>
      <c r="L189" s="55"/>
      <c r="M189" s="55"/>
      <c r="N189" s="55"/>
      <c r="O189" s="70" t="e">
        <f>O190+O221+O281+#REF!+O314</f>
        <v>#REF!</v>
      </c>
      <c r="P189" s="55" t="e">
        <f>P190+P221+P281+#REF!+P314</f>
        <v>#REF!</v>
      </c>
      <c r="Q189" s="70" t="e">
        <f>Q190+Q221+Q281+#REF!+Q314</f>
        <v>#REF!</v>
      </c>
      <c r="R189" s="70" t="e">
        <f>R190+R221+R281+#REF!+R314</f>
        <v>#REF!</v>
      </c>
      <c r="S189" s="70" t="e">
        <f>S190+S221+S281+#REF!+S314</f>
        <v>#REF!</v>
      </c>
      <c r="T189" s="76" t="e">
        <f t="shared" ref="T189:Y189" si="153">T190+T221+T281+T314</f>
        <v>#REF!</v>
      </c>
      <c r="U189" s="55" t="e">
        <f t="shared" si="153"/>
        <v>#REF!</v>
      </c>
      <c r="V189" s="55" t="e">
        <f t="shared" si="153"/>
        <v>#REF!</v>
      </c>
      <c r="W189" s="55" t="e">
        <f t="shared" si="153"/>
        <v>#REF!</v>
      </c>
      <c r="X189" s="55" t="e">
        <f t="shared" si="153"/>
        <v>#REF!</v>
      </c>
      <c r="Y189" s="106">
        <f t="shared" si="153"/>
        <v>706181.78428000002</v>
      </c>
      <c r="Z189" s="46"/>
      <c r="AA189" s="81"/>
    </row>
    <row r="190" spans="1:27">
      <c r="A190" s="56" t="s">
        <v>21</v>
      </c>
      <c r="B190" s="57" t="s">
        <v>201</v>
      </c>
      <c r="C190" s="58">
        <v>905</v>
      </c>
      <c r="D190" s="58" t="s">
        <v>200</v>
      </c>
      <c r="E190" s="58" t="s">
        <v>23</v>
      </c>
      <c r="F190" s="58" t="s">
        <v>21</v>
      </c>
      <c r="G190" s="59" t="s">
        <v>21</v>
      </c>
      <c r="H190" s="55">
        <f>H191+H212</f>
        <v>51811.700000000004</v>
      </c>
      <c r="I190" s="55">
        <f>I191+I212</f>
        <v>71151.5</v>
      </c>
      <c r="J190" s="73" t="e">
        <f>J191+J212+#REF!+#REF!</f>
        <v>#REF!</v>
      </c>
      <c r="K190" s="55" t="e">
        <f>K191+K212+#REF!+#REF!</f>
        <v>#REF!</v>
      </c>
      <c r="L190" s="73" t="e">
        <f>L191+L212+#REF!+#REF!</f>
        <v>#REF!</v>
      </c>
      <c r="M190" s="73" t="e">
        <f>M191+M212+#REF!+#REF!</f>
        <v>#REF!</v>
      </c>
      <c r="N190" s="73" t="e">
        <f>N191+N212+#REF!+#REF!</f>
        <v>#REF!</v>
      </c>
      <c r="O190" s="70" t="e">
        <f>O191+O212+#REF!+#REF!+#REF!+O215</f>
        <v>#REF!</v>
      </c>
      <c r="P190" s="55" t="e">
        <f>P191+P212+#REF!+#REF!+#REF!+P215</f>
        <v>#REF!</v>
      </c>
      <c r="Q190" s="70" t="e">
        <f>Q191+Q212+#REF!+#REF!+#REF!</f>
        <v>#REF!</v>
      </c>
      <c r="R190" s="70" t="e">
        <f>R191+R212+#REF!+#REF!+#REF!</f>
        <v>#REF!</v>
      </c>
      <c r="S190" s="70" t="e">
        <f>S191+S212+#REF!+#REF!+#REF!</f>
        <v>#REF!</v>
      </c>
      <c r="T190" s="76" t="e">
        <f t="shared" ref="T190:Y190" si="154">T191+T212+T215</f>
        <v>#REF!</v>
      </c>
      <c r="U190" s="76" t="e">
        <f t="shared" si="154"/>
        <v>#REF!</v>
      </c>
      <c r="V190" s="76" t="e">
        <f t="shared" si="154"/>
        <v>#REF!</v>
      </c>
      <c r="W190" s="76" t="e">
        <f t="shared" si="154"/>
        <v>#REF!</v>
      </c>
      <c r="X190" s="76" t="e">
        <f t="shared" si="154"/>
        <v>#REF!</v>
      </c>
      <c r="Y190" s="106">
        <f t="shared" si="154"/>
        <v>225163.73299999998</v>
      </c>
      <c r="Z190" s="46"/>
      <c r="AA190" s="81"/>
    </row>
    <row r="191" spans="1:27" ht="37.5">
      <c r="A191" s="56"/>
      <c r="B191" s="62" t="s">
        <v>202</v>
      </c>
      <c r="C191" s="58">
        <v>905</v>
      </c>
      <c r="D191" s="58" t="s">
        <v>200</v>
      </c>
      <c r="E191" s="58" t="s">
        <v>23</v>
      </c>
      <c r="F191" s="58" t="s">
        <v>203</v>
      </c>
      <c r="G191" s="59" t="s">
        <v>21</v>
      </c>
      <c r="H191" s="55">
        <f>H192</f>
        <v>51458.700000000004</v>
      </c>
      <c r="I191" s="55">
        <f>I192</f>
        <v>71151.5</v>
      </c>
      <c r="J191" s="73" t="e">
        <f>J192</f>
        <v>#REF!</v>
      </c>
      <c r="K191" s="55" t="e">
        <f>K192</f>
        <v>#REF!</v>
      </c>
      <c r="L191" s="55"/>
      <c r="M191" s="55"/>
      <c r="N191" s="55"/>
      <c r="O191" s="70" t="e">
        <f t="shared" ref="O191:Y191" si="155">O192</f>
        <v>#REF!</v>
      </c>
      <c r="P191" s="55" t="e">
        <f t="shared" si="155"/>
        <v>#REF!</v>
      </c>
      <c r="Q191" s="70" t="e">
        <f t="shared" si="155"/>
        <v>#REF!</v>
      </c>
      <c r="R191" s="70" t="e">
        <f t="shared" si="155"/>
        <v>#REF!</v>
      </c>
      <c r="S191" s="70" t="e">
        <f t="shared" si="155"/>
        <v>#REF!</v>
      </c>
      <c r="T191" s="76" t="e">
        <f t="shared" si="155"/>
        <v>#REF!</v>
      </c>
      <c r="U191" s="55" t="e">
        <f t="shared" si="155"/>
        <v>#REF!</v>
      </c>
      <c r="V191" s="55" t="e">
        <f t="shared" si="155"/>
        <v>#REF!</v>
      </c>
      <c r="W191" s="55" t="e">
        <f t="shared" si="155"/>
        <v>#REF!</v>
      </c>
      <c r="X191" s="55" t="e">
        <f t="shared" si="155"/>
        <v>#REF!</v>
      </c>
      <c r="Y191" s="106">
        <f t="shared" si="155"/>
        <v>224130.38246999998</v>
      </c>
      <c r="Z191" s="46"/>
      <c r="AA191" s="81"/>
    </row>
    <row r="192" spans="1:27">
      <c r="A192" s="56"/>
      <c r="B192" s="62" t="s">
        <v>204</v>
      </c>
      <c r="C192" s="58">
        <v>905</v>
      </c>
      <c r="D192" s="58" t="s">
        <v>200</v>
      </c>
      <c r="E192" s="58" t="s">
        <v>23</v>
      </c>
      <c r="F192" s="58" t="s">
        <v>205</v>
      </c>
      <c r="G192" s="59" t="s">
        <v>21</v>
      </c>
      <c r="H192" s="55">
        <f>H193+H195+H202+H209</f>
        <v>51458.700000000004</v>
      </c>
      <c r="I192" s="55">
        <f>I193+I195+I202+I209</f>
        <v>71151.5</v>
      </c>
      <c r="J192" s="73" t="e">
        <f>J193+J195+J202+J209</f>
        <v>#REF!</v>
      </c>
      <c r="K192" s="55" t="e">
        <f>K193+K195+K202+K209</f>
        <v>#REF!</v>
      </c>
      <c r="L192" s="55"/>
      <c r="M192" s="55"/>
      <c r="N192" s="55"/>
      <c r="O192" s="70" t="e">
        <f t="shared" ref="O192:T192" si="156">O193+O195+O202+O209</f>
        <v>#REF!</v>
      </c>
      <c r="P192" s="55" t="e">
        <f t="shared" si="156"/>
        <v>#REF!</v>
      </c>
      <c r="Q192" s="70" t="e">
        <f t="shared" si="156"/>
        <v>#REF!</v>
      </c>
      <c r="R192" s="70" t="e">
        <f t="shared" si="156"/>
        <v>#REF!</v>
      </c>
      <c r="S192" s="70" t="e">
        <f t="shared" si="156"/>
        <v>#REF!</v>
      </c>
      <c r="T192" s="76" t="e">
        <f t="shared" si="156"/>
        <v>#REF!</v>
      </c>
      <c r="U192" s="55" t="e">
        <f t="shared" ref="U192:Y192" si="157">U193+U195+U202+U209</f>
        <v>#REF!</v>
      </c>
      <c r="V192" s="55" t="e">
        <f t="shared" si="157"/>
        <v>#REF!</v>
      </c>
      <c r="W192" s="55" t="e">
        <f t="shared" si="157"/>
        <v>#REF!</v>
      </c>
      <c r="X192" s="55" t="e">
        <f t="shared" si="157"/>
        <v>#REF!</v>
      </c>
      <c r="Y192" s="106">
        <f t="shared" si="157"/>
        <v>224130.38246999998</v>
      </c>
      <c r="Z192" s="46"/>
      <c r="AA192" s="81"/>
    </row>
    <row r="193" spans="1:27" ht="37.5">
      <c r="A193" s="56"/>
      <c r="B193" s="62" t="s">
        <v>206</v>
      </c>
      <c r="C193" s="58">
        <v>905</v>
      </c>
      <c r="D193" s="58" t="s">
        <v>200</v>
      </c>
      <c r="E193" s="58" t="s">
        <v>23</v>
      </c>
      <c r="F193" s="58" t="s">
        <v>207</v>
      </c>
      <c r="G193" s="59"/>
      <c r="H193" s="55">
        <f>H194</f>
        <v>1788.3</v>
      </c>
      <c r="I193" s="55">
        <f>I194</f>
        <v>0</v>
      </c>
      <c r="J193" s="73">
        <f>J194</f>
        <v>1814.7</v>
      </c>
      <c r="K193" s="55">
        <f>K194</f>
        <v>0</v>
      </c>
      <c r="L193" s="55"/>
      <c r="M193" s="55"/>
      <c r="N193" s="55"/>
      <c r="O193" s="70">
        <f t="shared" ref="O193:Y193" si="158">O194</f>
        <v>573.5</v>
      </c>
      <c r="P193" s="55">
        <f t="shared" si="158"/>
        <v>0</v>
      </c>
      <c r="Q193" s="70">
        <f t="shared" si="158"/>
        <v>0</v>
      </c>
      <c r="R193" s="70">
        <f t="shared" si="158"/>
        <v>0</v>
      </c>
      <c r="S193" s="70">
        <f t="shared" si="158"/>
        <v>0</v>
      </c>
      <c r="T193" s="76">
        <v>610.9</v>
      </c>
      <c r="U193" s="55">
        <f t="shared" si="158"/>
        <v>0</v>
      </c>
      <c r="V193" s="55">
        <f t="shared" si="158"/>
        <v>0</v>
      </c>
      <c r="W193" s="55">
        <f t="shared" si="158"/>
        <v>0</v>
      </c>
      <c r="X193" s="55">
        <f t="shared" si="158"/>
        <v>0</v>
      </c>
      <c r="Y193" s="106">
        <f t="shared" si="158"/>
        <v>1346.07</v>
      </c>
      <c r="Z193" s="46"/>
      <c r="AA193" s="81"/>
    </row>
    <row r="194" spans="1:27" ht="37.5">
      <c r="A194" s="56"/>
      <c r="B194" s="57" t="s">
        <v>56</v>
      </c>
      <c r="C194" s="58">
        <v>905</v>
      </c>
      <c r="D194" s="58" t="s">
        <v>200</v>
      </c>
      <c r="E194" s="58" t="s">
        <v>23</v>
      </c>
      <c r="F194" s="58" t="s">
        <v>207</v>
      </c>
      <c r="G194" s="59" t="s">
        <v>67</v>
      </c>
      <c r="H194" s="55">
        <v>1788.3</v>
      </c>
      <c r="I194" s="55"/>
      <c r="J194" s="73">
        <v>1814.7</v>
      </c>
      <c r="K194" s="70">
        <v>0</v>
      </c>
      <c r="L194" s="70"/>
      <c r="M194" s="70"/>
      <c r="N194" s="70"/>
      <c r="O194" s="70">
        <v>573.5</v>
      </c>
      <c r="P194" s="55">
        <v>0</v>
      </c>
      <c r="Q194" s="55"/>
      <c r="R194" s="55">
        <v>0</v>
      </c>
      <c r="S194" s="55"/>
      <c r="T194" s="77">
        <v>610.9</v>
      </c>
      <c r="U194" s="55"/>
      <c r="V194" s="57"/>
      <c r="W194" s="57"/>
      <c r="X194" s="57"/>
      <c r="Y194" s="106">
        <v>1346.07</v>
      </c>
      <c r="Z194" s="46"/>
      <c r="AA194" s="81"/>
    </row>
    <row r="195" spans="1:27" ht="18.95" customHeight="1">
      <c r="A195" s="56"/>
      <c r="B195" s="62" t="s">
        <v>208</v>
      </c>
      <c r="C195" s="58">
        <v>905</v>
      </c>
      <c r="D195" s="58" t="s">
        <v>200</v>
      </c>
      <c r="E195" s="58" t="s">
        <v>23</v>
      </c>
      <c r="F195" s="58" t="s">
        <v>209</v>
      </c>
      <c r="G195" s="59"/>
      <c r="H195" s="55">
        <f t="shared" ref="H195:J196" si="159">H196</f>
        <v>450</v>
      </c>
      <c r="I195" s="55">
        <f t="shared" si="159"/>
        <v>0</v>
      </c>
      <c r="J195" s="73" t="e">
        <f>J196+J200+#REF!</f>
        <v>#REF!</v>
      </c>
      <c r="K195" s="55" t="e">
        <f>K196+K200+#REF!</f>
        <v>#REF!</v>
      </c>
      <c r="L195" s="55"/>
      <c r="M195" s="55"/>
      <c r="N195" s="55"/>
      <c r="O195" s="70" t="e">
        <f>O196+O198+O200+#REF!</f>
        <v>#REF!</v>
      </c>
      <c r="P195" s="55" t="e">
        <f>P196+P198+P200+#REF!</f>
        <v>#REF!</v>
      </c>
      <c r="Q195" s="70" t="e">
        <f>Q196+Q198+Q200+#REF!</f>
        <v>#REF!</v>
      </c>
      <c r="R195" s="70" t="e">
        <f>R196+R198+R200+#REF!</f>
        <v>#REF!</v>
      </c>
      <c r="S195" s="70" t="e">
        <f>S196+S198+S200+#REF!</f>
        <v>#REF!</v>
      </c>
      <c r="T195" s="76" t="e">
        <f>T196+T198+T200+#REF!</f>
        <v>#REF!</v>
      </c>
      <c r="U195" s="55" t="e">
        <f>U196+U198+U200+#REF!</f>
        <v>#REF!</v>
      </c>
      <c r="V195" s="55" t="e">
        <f>V196+V198+V200+#REF!</f>
        <v>#REF!</v>
      </c>
      <c r="W195" s="55" t="e">
        <f>W196+W198+W200+#REF!</f>
        <v>#REF!</v>
      </c>
      <c r="X195" s="55" t="e">
        <f>X196+X198+X200+#REF!</f>
        <v>#REF!</v>
      </c>
      <c r="Y195" s="106">
        <f>Y196+Y198+Y200</f>
        <v>4119.9124700000002</v>
      </c>
      <c r="Z195" s="46"/>
      <c r="AA195" s="81"/>
    </row>
    <row r="196" spans="1:27" ht="45" customHeight="1">
      <c r="A196" s="56"/>
      <c r="B196" s="62" t="s">
        <v>210</v>
      </c>
      <c r="C196" s="58">
        <v>905</v>
      </c>
      <c r="D196" s="58" t="s">
        <v>200</v>
      </c>
      <c r="E196" s="58" t="s">
        <v>23</v>
      </c>
      <c r="F196" s="58" t="s">
        <v>211</v>
      </c>
      <c r="G196" s="59"/>
      <c r="H196" s="55">
        <f t="shared" si="159"/>
        <v>450</v>
      </c>
      <c r="I196" s="55">
        <f t="shared" si="159"/>
        <v>0</v>
      </c>
      <c r="J196" s="73">
        <f t="shared" si="159"/>
        <v>465</v>
      </c>
      <c r="K196" s="55">
        <f>K197</f>
        <v>0</v>
      </c>
      <c r="L196" s="55"/>
      <c r="M196" s="55"/>
      <c r="N196" s="55"/>
      <c r="O196" s="70">
        <f t="shared" ref="O196:Y196" si="160">O197</f>
        <v>39</v>
      </c>
      <c r="P196" s="55">
        <f t="shared" si="160"/>
        <v>0</v>
      </c>
      <c r="Q196" s="70">
        <f t="shared" si="160"/>
        <v>0</v>
      </c>
      <c r="R196" s="70">
        <f t="shared" si="160"/>
        <v>0</v>
      </c>
      <c r="S196" s="70">
        <f t="shared" si="160"/>
        <v>0</v>
      </c>
      <c r="T196" s="76">
        <f t="shared" si="160"/>
        <v>0</v>
      </c>
      <c r="U196" s="55">
        <f t="shared" si="160"/>
        <v>0</v>
      </c>
      <c r="V196" s="55">
        <f t="shared" si="160"/>
        <v>0</v>
      </c>
      <c r="W196" s="55">
        <f t="shared" si="160"/>
        <v>0</v>
      </c>
      <c r="X196" s="55">
        <f t="shared" si="160"/>
        <v>0</v>
      </c>
      <c r="Y196" s="106">
        <f t="shared" si="160"/>
        <v>4103.11247</v>
      </c>
      <c r="Z196" s="46"/>
      <c r="AA196" s="81"/>
    </row>
    <row r="197" spans="1:27" ht="38.25" customHeight="1">
      <c r="A197" s="56"/>
      <c r="B197" s="57" t="s">
        <v>56</v>
      </c>
      <c r="C197" s="58">
        <v>905</v>
      </c>
      <c r="D197" s="58" t="s">
        <v>200</v>
      </c>
      <c r="E197" s="58" t="s">
        <v>23</v>
      </c>
      <c r="F197" s="58" t="s">
        <v>211</v>
      </c>
      <c r="G197" s="59" t="s">
        <v>67</v>
      </c>
      <c r="H197" s="55">
        <v>450</v>
      </c>
      <c r="I197" s="55"/>
      <c r="J197" s="73">
        <v>465</v>
      </c>
      <c r="K197" s="70">
        <v>0</v>
      </c>
      <c r="L197" s="70"/>
      <c r="M197" s="70"/>
      <c r="N197" s="70"/>
      <c r="O197" s="70">
        <v>39</v>
      </c>
      <c r="P197" s="55">
        <v>0</v>
      </c>
      <c r="Q197" s="73"/>
      <c r="R197" s="73"/>
      <c r="S197" s="73"/>
      <c r="T197" s="77"/>
      <c r="U197" s="57">
        <v>0</v>
      </c>
      <c r="V197" s="57">
        <v>0</v>
      </c>
      <c r="W197" s="57"/>
      <c r="X197" s="57"/>
      <c r="Y197" s="106">
        <v>4103.11247</v>
      </c>
      <c r="Z197" s="46"/>
      <c r="AA197" s="81"/>
    </row>
    <row r="198" spans="1:27" ht="21" hidden="1" customHeight="1">
      <c r="A198" s="56"/>
      <c r="B198" s="57" t="s">
        <v>212</v>
      </c>
      <c r="C198" s="58">
        <v>905</v>
      </c>
      <c r="D198" s="58" t="s">
        <v>200</v>
      </c>
      <c r="E198" s="58" t="s">
        <v>23</v>
      </c>
      <c r="F198" s="58" t="s">
        <v>213</v>
      </c>
      <c r="G198" s="59"/>
      <c r="H198" s="55"/>
      <c r="I198" s="55"/>
      <c r="J198" s="73"/>
      <c r="K198" s="70"/>
      <c r="L198" s="70"/>
      <c r="M198" s="70"/>
      <c r="N198" s="70"/>
      <c r="O198" s="70">
        <f t="shared" ref="O198:T198" si="161">O199</f>
        <v>0</v>
      </c>
      <c r="P198" s="55">
        <f t="shared" si="161"/>
        <v>0</v>
      </c>
      <c r="Q198" s="55">
        <f t="shared" si="161"/>
        <v>0</v>
      </c>
      <c r="R198" s="55">
        <f t="shared" si="161"/>
        <v>0</v>
      </c>
      <c r="S198" s="55">
        <f t="shared" si="161"/>
        <v>0</v>
      </c>
      <c r="T198" s="77">
        <f t="shared" si="161"/>
        <v>0</v>
      </c>
      <c r="U198" s="57"/>
      <c r="V198" s="57"/>
      <c r="W198" s="57"/>
      <c r="X198" s="57"/>
      <c r="Y198" s="106">
        <f>Y199</f>
        <v>0</v>
      </c>
      <c r="Z198" s="46"/>
      <c r="AA198" s="81"/>
    </row>
    <row r="199" spans="1:27" ht="38.25" hidden="1" customHeight="1">
      <c r="A199" s="56"/>
      <c r="B199" s="57" t="s">
        <v>56</v>
      </c>
      <c r="C199" s="58">
        <v>905</v>
      </c>
      <c r="D199" s="58" t="s">
        <v>200</v>
      </c>
      <c r="E199" s="58" t="s">
        <v>23</v>
      </c>
      <c r="F199" s="58" t="s">
        <v>213</v>
      </c>
      <c r="G199" s="59" t="s">
        <v>67</v>
      </c>
      <c r="H199" s="55"/>
      <c r="I199" s="55"/>
      <c r="J199" s="73"/>
      <c r="K199" s="70"/>
      <c r="L199" s="70"/>
      <c r="M199" s="70"/>
      <c r="N199" s="70"/>
      <c r="O199" s="70"/>
      <c r="P199" s="55">
        <v>0</v>
      </c>
      <c r="Q199" s="73"/>
      <c r="R199" s="73"/>
      <c r="S199" s="73"/>
      <c r="T199" s="77">
        <f>O199+P199+Q199+R199+S199</f>
        <v>0</v>
      </c>
      <c r="U199" s="57"/>
      <c r="V199" s="57"/>
      <c r="W199" s="57"/>
      <c r="X199" s="57"/>
      <c r="Y199" s="106">
        <v>0</v>
      </c>
      <c r="Z199" s="46"/>
      <c r="AA199" s="81"/>
    </row>
    <row r="200" spans="1:27" ht="18" customHeight="1">
      <c r="A200" s="56"/>
      <c r="B200" s="57" t="s">
        <v>214</v>
      </c>
      <c r="C200" s="58">
        <v>905</v>
      </c>
      <c r="D200" s="58" t="s">
        <v>200</v>
      </c>
      <c r="E200" s="58" t="s">
        <v>23</v>
      </c>
      <c r="F200" s="58" t="s">
        <v>215</v>
      </c>
      <c r="G200" s="59"/>
      <c r="H200" s="55"/>
      <c r="I200" s="55"/>
      <c r="J200" s="73">
        <f>J201</f>
        <v>0</v>
      </c>
      <c r="K200" s="55">
        <f>K201</f>
        <v>0</v>
      </c>
      <c r="L200" s="55"/>
      <c r="M200" s="55"/>
      <c r="N200" s="55"/>
      <c r="O200" s="70">
        <f t="shared" ref="O200:Y200" si="162">O201</f>
        <v>0</v>
      </c>
      <c r="P200" s="55">
        <f t="shared" si="162"/>
        <v>0</v>
      </c>
      <c r="Q200" s="70">
        <f t="shared" si="162"/>
        <v>0</v>
      </c>
      <c r="R200" s="70">
        <f t="shared" si="162"/>
        <v>0</v>
      </c>
      <c r="S200" s="70">
        <f t="shared" si="162"/>
        <v>0</v>
      </c>
      <c r="T200" s="76">
        <f t="shared" si="162"/>
        <v>571.79999999999995</v>
      </c>
      <c r="U200" s="57">
        <f t="shared" si="162"/>
        <v>0</v>
      </c>
      <c r="V200" s="57">
        <f t="shared" si="162"/>
        <v>0</v>
      </c>
      <c r="W200" s="57">
        <f t="shared" si="162"/>
        <v>0</v>
      </c>
      <c r="X200" s="57">
        <f t="shared" si="162"/>
        <v>0</v>
      </c>
      <c r="Y200" s="106">
        <f t="shared" si="162"/>
        <v>16.8</v>
      </c>
      <c r="Z200" s="46"/>
      <c r="AA200" s="81"/>
    </row>
    <row r="201" spans="1:27" ht="37.5">
      <c r="A201" s="56"/>
      <c r="B201" s="57" t="s">
        <v>56</v>
      </c>
      <c r="C201" s="58">
        <v>905</v>
      </c>
      <c r="D201" s="58" t="s">
        <v>200</v>
      </c>
      <c r="E201" s="58" t="s">
        <v>23</v>
      </c>
      <c r="F201" s="58" t="s">
        <v>215</v>
      </c>
      <c r="G201" s="59" t="s">
        <v>67</v>
      </c>
      <c r="H201" s="55"/>
      <c r="I201" s="55"/>
      <c r="J201" s="73"/>
      <c r="K201" s="70"/>
      <c r="L201" s="70"/>
      <c r="M201" s="70"/>
      <c r="N201" s="70"/>
      <c r="O201" s="70">
        <f>J201+K201+M201+N201+L201</f>
        <v>0</v>
      </c>
      <c r="P201" s="55"/>
      <c r="Q201" s="73"/>
      <c r="R201" s="73"/>
      <c r="S201" s="73"/>
      <c r="T201" s="77">
        <v>571.79999999999995</v>
      </c>
      <c r="U201" s="57"/>
      <c r="V201" s="57"/>
      <c r="W201" s="57"/>
      <c r="X201" s="57"/>
      <c r="Y201" s="106">
        <v>16.8</v>
      </c>
      <c r="Z201" s="46"/>
      <c r="AA201" s="81"/>
    </row>
    <row r="202" spans="1:27" ht="24.75" customHeight="1">
      <c r="A202" s="56"/>
      <c r="B202" s="57" t="s">
        <v>63</v>
      </c>
      <c r="C202" s="58">
        <v>905</v>
      </c>
      <c r="D202" s="58" t="s">
        <v>200</v>
      </c>
      <c r="E202" s="58" t="s">
        <v>23</v>
      </c>
      <c r="F202" s="58" t="s">
        <v>216</v>
      </c>
      <c r="G202" s="59"/>
      <c r="H202" s="55">
        <f>H203+H207+H205</f>
        <v>49220.4</v>
      </c>
      <c r="I202" s="55">
        <f>I203+I207+I205</f>
        <v>69251.5</v>
      </c>
      <c r="J202" s="73">
        <f>J203+J207+J205</f>
        <v>60151.8</v>
      </c>
      <c r="K202" s="55">
        <f>K203+K207+K205</f>
        <v>82368.100000000006</v>
      </c>
      <c r="L202" s="55"/>
      <c r="M202" s="55"/>
      <c r="N202" s="55"/>
      <c r="O202" s="70">
        <f t="shared" ref="O202:T202" si="163">O203+O205+O207</f>
        <v>62138.500000000007</v>
      </c>
      <c r="P202" s="55">
        <f t="shared" si="163"/>
        <v>102595.6</v>
      </c>
      <c r="Q202" s="70">
        <f t="shared" si="163"/>
        <v>0</v>
      </c>
      <c r="R202" s="70">
        <f t="shared" si="163"/>
        <v>0</v>
      </c>
      <c r="S202" s="70">
        <f t="shared" si="163"/>
        <v>0</v>
      </c>
      <c r="T202" s="76">
        <f t="shared" si="163"/>
        <v>74486.600000000006</v>
      </c>
      <c r="U202" s="55">
        <f t="shared" ref="U202:Y202" si="164">U203+U205+U207</f>
        <v>0</v>
      </c>
      <c r="V202" s="55">
        <f t="shared" si="164"/>
        <v>0</v>
      </c>
      <c r="W202" s="55">
        <f t="shared" si="164"/>
        <v>0</v>
      </c>
      <c r="X202" s="55">
        <f t="shared" si="164"/>
        <v>122091.6</v>
      </c>
      <c r="Y202" s="106">
        <f t="shared" si="164"/>
        <v>215774.4</v>
      </c>
      <c r="Z202" s="46"/>
      <c r="AA202" s="81"/>
    </row>
    <row r="203" spans="1:27" ht="37.5">
      <c r="A203" s="56"/>
      <c r="B203" s="57" t="s">
        <v>65</v>
      </c>
      <c r="C203" s="58">
        <v>905</v>
      </c>
      <c r="D203" s="58" t="s">
        <v>200</v>
      </c>
      <c r="E203" s="58" t="s">
        <v>23</v>
      </c>
      <c r="F203" s="58" t="s">
        <v>217</v>
      </c>
      <c r="G203" s="59"/>
      <c r="H203" s="55">
        <f>H204</f>
        <v>48941.700000000004</v>
      </c>
      <c r="I203" s="55">
        <f>I204</f>
        <v>0</v>
      </c>
      <c r="J203" s="73">
        <f>J204</f>
        <v>59954.8</v>
      </c>
      <c r="K203" s="55">
        <f>K204</f>
        <v>0</v>
      </c>
      <c r="L203" s="55"/>
      <c r="M203" s="55"/>
      <c r="N203" s="55"/>
      <c r="O203" s="70">
        <f t="shared" ref="O203:Y203" si="165">O204</f>
        <v>61835.100000000006</v>
      </c>
      <c r="P203" s="55">
        <f t="shared" si="165"/>
        <v>0</v>
      </c>
      <c r="Q203" s="70">
        <f t="shared" si="165"/>
        <v>0</v>
      </c>
      <c r="R203" s="70">
        <f t="shared" si="165"/>
        <v>0</v>
      </c>
      <c r="S203" s="70">
        <f t="shared" si="165"/>
        <v>0</v>
      </c>
      <c r="T203" s="76">
        <f t="shared" si="165"/>
        <v>74486.600000000006</v>
      </c>
      <c r="U203" s="55">
        <f t="shared" si="165"/>
        <v>0</v>
      </c>
      <c r="V203" s="55">
        <f t="shared" si="165"/>
        <v>0</v>
      </c>
      <c r="W203" s="55">
        <f t="shared" si="165"/>
        <v>0</v>
      </c>
      <c r="X203" s="55">
        <f t="shared" si="165"/>
        <v>0</v>
      </c>
      <c r="Y203" s="106">
        <f t="shared" si="165"/>
        <v>78260.899999999994</v>
      </c>
      <c r="Z203" s="46"/>
      <c r="AA203" s="81"/>
    </row>
    <row r="204" spans="1:27" ht="37.5">
      <c r="A204" s="56"/>
      <c r="B204" s="57" t="s">
        <v>56</v>
      </c>
      <c r="C204" s="58">
        <v>905</v>
      </c>
      <c r="D204" s="58" t="s">
        <v>200</v>
      </c>
      <c r="E204" s="58" t="s">
        <v>23</v>
      </c>
      <c r="F204" s="58" t="s">
        <v>217</v>
      </c>
      <c r="G204" s="59">
        <v>600</v>
      </c>
      <c r="H204" s="55">
        <f>54514.9-5294.5-278.7</f>
        <v>48941.700000000004</v>
      </c>
      <c r="I204" s="55"/>
      <c r="J204" s="73">
        <f>63895.4-197-3743.6</f>
        <v>59954.8</v>
      </c>
      <c r="K204" s="70">
        <v>0</v>
      </c>
      <c r="L204" s="70"/>
      <c r="M204" s="70"/>
      <c r="N204" s="70"/>
      <c r="O204" s="70">
        <f>64868.8-3033.7</f>
        <v>61835.100000000006</v>
      </c>
      <c r="P204" s="55">
        <v>0</v>
      </c>
      <c r="Q204" s="55">
        <v>0</v>
      </c>
      <c r="R204" s="55"/>
      <c r="S204" s="55"/>
      <c r="T204" s="77">
        <f>82062.6-7576</f>
        <v>74486.600000000006</v>
      </c>
      <c r="U204" s="55"/>
      <c r="V204" s="57">
        <v>0</v>
      </c>
      <c r="W204" s="57"/>
      <c r="X204" s="57"/>
      <c r="Y204" s="106">
        <f>76765.4+1495.5</f>
        <v>78260.899999999994</v>
      </c>
      <c r="Z204" s="46"/>
      <c r="AA204" s="81"/>
    </row>
    <row r="205" spans="1:27" ht="37.5">
      <c r="A205" s="56" t="s">
        <v>21</v>
      </c>
      <c r="B205" s="57" t="s">
        <v>68</v>
      </c>
      <c r="C205" s="58">
        <v>905</v>
      </c>
      <c r="D205" s="58" t="s">
        <v>200</v>
      </c>
      <c r="E205" s="58" t="s">
        <v>23</v>
      </c>
      <c r="F205" s="58" t="s">
        <v>218</v>
      </c>
      <c r="G205" s="59"/>
      <c r="H205" s="55">
        <f>H206</f>
        <v>278.7</v>
      </c>
      <c r="I205" s="55">
        <f>I206</f>
        <v>5294.5</v>
      </c>
      <c r="J205" s="73">
        <f>J206</f>
        <v>197</v>
      </c>
      <c r="K205" s="55">
        <f>K206</f>
        <v>3743.6</v>
      </c>
      <c r="L205" s="55"/>
      <c r="M205" s="55"/>
      <c r="N205" s="55"/>
      <c r="O205" s="70">
        <f t="shared" ref="O205:Y205" si="166">O206</f>
        <v>303.39999999999998</v>
      </c>
      <c r="P205" s="55">
        <f t="shared" si="166"/>
        <v>5764</v>
      </c>
      <c r="Q205" s="70">
        <f t="shared" si="166"/>
        <v>0</v>
      </c>
      <c r="R205" s="70">
        <f t="shared" si="166"/>
        <v>0</v>
      </c>
      <c r="S205" s="70">
        <f t="shared" si="166"/>
        <v>0</v>
      </c>
      <c r="T205" s="76">
        <f t="shared" si="166"/>
        <v>0</v>
      </c>
      <c r="U205" s="55">
        <f t="shared" si="166"/>
        <v>0</v>
      </c>
      <c r="V205" s="55">
        <f t="shared" si="166"/>
        <v>0</v>
      </c>
      <c r="W205" s="55">
        <f t="shared" si="166"/>
        <v>0</v>
      </c>
      <c r="X205" s="80">
        <f t="shared" si="166"/>
        <v>7576</v>
      </c>
      <c r="Y205" s="106">
        <f t="shared" si="166"/>
        <v>7974.7</v>
      </c>
      <c r="Z205" s="46"/>
      <c r="AA205" s="81"/>
    </row>
    <row r="206" spans="1:27" ht="37.5">
      <c r="A206" s="56" t="s">
        <v>21</v>
      </c>
      <c r="B206" s="57" t="s">
        <v>56</v>
      </c>
      <c r="C206" s="58">
        <v>905</v>
      </c>
      <c r="D206" s="58" t="s">
        <v>200</v>
      </c>
      <c r="E206" s="58" t="s">
        <v>23</v>
      </c>
      <c r="F206" s="58" t="s">
        <v>218</v>
      </c>
      <c r="G206" s="59">
        <v>600</v>
      </c>
      <c r="H206" s="55">
        <v>278.7</v>
      </c>
      <c r="I206" s="55">
        <v>5294.5</v>
      </c>
      <c r="J206" s="73">
        <v>197</v>
      </c>
      <c r="K206" s="70">
        <v>3743.6</v>
      </c>
      <c r="L206" s="70"/>
      <c r="M206" s="70"/>
      <c r="N206" s="70"/>
      <c r="O206" s="70">
        <f>151.7+151.7</f>
        <v>303.39999999999998</v>
      </c>
      <c r="P206" s="55">
        <f>2882+2882</f>
        <v>5764</v>
      </c>
      <c r="Q206" s="73"/>
      <c r="R206" s="73"/>
      <c r="S206" s="73"/>
      <c r="T206" s="77">
        <v>0</v>
      </c>
      <c r="U206" s="57"/>
      <c r="V206" s="57"/>
      <c r="W206" s="57"/>
      <c r="X206" s="84">
        <v>7576</v>
      </c>
      <c r="Y206" s="106">
        <f>T206+U206+V206+W206+X206+398.7</f>
        <v>7974.7</v>
      </c>
      <c r="Z206" s="46"/>
      <c r="AA206" s="81"/>
    </row>
    <row r="207" spans="1:27" ht="57.75" customHeight="1">
      <c r="A207" s="56"/>
      <c r="B207" s="57" t="s">
        <v>219</v>
      </c>
      <c r="C207" s="58">
        <v>905</v>
      </c>
      <c r="D207" s="58" t="s">
        <v>200</v>
      </c>
      <c r="E207" s="58" t="s">
        <v>23</v>
      </c>
      <c r="F207" s="58" t="s">
        <v>220</v>
      </c>
      <c r="G207" s="59" t="s">
        <v>21</v>
      </c>
      <c r="H207" s="55">
        <f>H208</f>
        <v>0</v>
      </c>
      <c r="I207" s="55">
        <f>I208</f>
        <v>63957</v>
      </c>
      <c r="J207" s="73">
        <f>J208</f>
        <v>0</v>
      </c>
      <c r="K207" s="55">
        <f>K208</f>
        <v>78624.5</v>
      </c>
      <c r="L207" s="55"/>
      <c r="M207" s="55"/>
      <c r="N207" s="55"/>
      <c r="O207" s="70">
        <f t="shared" ref="O207:Y207" si="167">O208</f>
        <v>0</v>
      </c>
      <c r="P207" s="55">
        <f t="shared" si="167"/>
        <v>96831.6</v>
      </c>
      <c r="Q207" s="70">
        <f t="shared" si="167"/>
        <v>0</v>
      </c>
      <c r="R207" s="70">
        <f t="shared" si="167"/>
        <v>0</v>
      </c>
      <c r="S207" s="70">
        <f t="shared" si="167"/>
        <v>0</v>
      </c>
      <c r="T207" s="76">
        <f t="shared" si="167"/>
        <v>0</v>
      </c>
      <c r="U207" s="55">
        <f t="shared" si="167"/>
        <v>0</v>
      </c>
      <c r="V207" s="55">
        <f t="shared" si="167"/>
        <v>0</v>
      </c>
      <c r="W207" s="55">
        <f t="shared" si="167"/>
        <v>0</v>
      </c>
      <c r="X207" s="55">
        <f t="shared" si="167"/>
        <v>114515.6</v>
      </c>
      <c r="Y207" s="106">
        <f t="shared" si="167"/>
        <v>129538.8</v>
      </c>
      <c r="Z207" s="46"/>
      <c r="AA207" s="81"/>
    </row>
    <row r="208" spans="1:27" ht="37.5">
      <c r="A208" s="56"/>
      <c r="B208" s="57" t="s">
        <v>56</v>
      </c>
      <c r="C208" s="58">
        <v>905</v>
      </c>
      <c r="D208" s="58" t="s">
        <v>200</v>
      </c>
      <c r="E208" s="58" t="s">
        <v>23</v>
      </c>
      <c r="F208" s="58" t="s">
        <v>220</v>
      </c>
      <c r="G208" s="59">
        <v>600</v>
      </c>
      <c r="H208" s="55"/>
      <c r="I208" s="55">
        <v>63957</v>
      </c>
      <c r="J208" s="73"/>
      <c r="K208" s="70">
        <v>78624.5</v>
      </c>
      <c r="L208" s="70"/>
      <c r="M208" s="70"/>
      <c r="N208" s="70"/>
      <c r="O208" s="70"/>
      <c r="P208" s="55">
        <v>96831.6</v>
      </c>
      <c r="Q208" s="73"/>
      <c r="R208" s="73"/>
      <c r="S208" s="55">
        <v>0</v>
      </c>
      <c r="T208" s="77"/>
      <c r="U208" s="57"/>
      <c r="V208" s="57"/>
      <c r="W208" s="57"/>
      <c r="X208" s="57">
        <f>113699.8+815.8</f>
        <v>114515.6</v>
      </c>
      <c r="Y208" s="106">
        <v>129538.8</v>
      </c>
      <c r="Z208" s="46"/>
      <c r="AA208" s="81"/>
    </row>
    <row r="209" spans="1:27" ht="56.25" customHeight="1">
      <c r="A209" s="56"/>
      <c r="B209" s="57" t="s">
        <v>72</v>
      </c>
      <c r="C209" s="58">
        <v>905</v>
      </c>
      <c r="D209" s="83" t="s">
        <v>200</v>
      </c>
      <c r="E209" s="83" t="s">
        <v>23</v>
      </c>
      <c r="F209" s="58" t="s">
        <v>221</v>
      </c>
      <c r="G209" s="59"/>
      <c r="H209" s="55">
        <f t="shared" ref="H209:K210" si="168">H210</f>
        <v>0</v>
      </c>
      <c r="I209" s="55">
        <f t="shared" si="168"/>
        <v>1900</v>
      </c>
      <c r="J209" s="73">
        <f t="shared" si="168"/>
        <v>0</v>
      </c>
      <c r="K209" s="55">
        <f t="shared" si="168"/>
        <v>2185.3000000000002</v>
      </c>
      <c r="L209" s="55"/>
      <c r="M209" s="55"/>
      <c r="N209" s="55"/>
      <c r="O209" s="70">
        <f>O210</f>
        <v>0</v>
      </c>
      <c r="P209" s="55">
        <f t="shared" ref="P209:Y210" si="169">P210</f>
        <v>2537</v>
      </c>
      <c r="Q209" s="70">
        <f t="shared" si="169"/>
        <v>0</v>
      </c>
      <c r="R209" s="70">
        <f t="shared" si="169"/>
        <v>0</v>
      </c>
      <c r="S209" s="70">
        <f t="shared" si="169"/>
        <v>0</v>
      </c>
      <c r="T209" s="76">
        <f t="shared" si="169"/>
        <v>0</v>
      </c>
      <c r="U209" s="55">
        <f t="shared" si="169"/>
        <v>0</v>
      </c>
      <c r="V209" s="55">
        <f t="shared" si="169"/>
        <v>0</v>
      </c>
      <c r="W209" s="55">
        <f t="shared" si="169"/>
        <v>0</v>
      </c>
      <c r="X209" s="55">
        <f t="shared" si="169"/>
        <v>2962.5</v>
      </c>
      <c r="Y209" s="106">
        <f t="shared" si="169"/>
        <v>2890</v>
      </c>
      <c r="Z209" s="46"/>
      <c r="AA209" s="81"/>
    </row>
    <row r="210" spans="1:27" ht="22.5" customHeight="1">
      <c r="A210" s="56"/>
      <c r="B210" s="57" t="s">
        <v>74</v>
      </c>
      <c r="C210" s="58">
        <v>905</v>
      </c>
      <c r="D210" s="83" t="s">
        <v>200</v>
      </c>
      <c r="E210" s="83" t="s">
        <v>23</v>
      </c>
      <c r="F210" s="58" t="s">
        <v>222</v>
      </c>
      <c r="G210" s="59"/>
      <c r="H210" s="55">
        <f t="shared" si="168"/>
        <v>0</v>
      </c>
      <c r="I210" s="55">
        <f t="shared" si="168"/>
        <v>1900</v>
      </c>
      <c r="J210" s="73">
        <f t="shared" si="168"/>
        <v>0</v>
      </c>
      <c r="K210" s="55">
        <f t="shared" si="168"/>
        <v>2185.3000000000002</v>
      </c>
      <c r="L210" s="55"/>
      <c r="M210" s="55"/>
      <c r="N210" s="55"/>
      <c r="O210" s="70">
        <f>O211</f>
        <v>0</v>
      </c>
      <c r="P210" s="55">
        <f t="shared" si="169"/>
        <v>2537</v>
      </c>
      <c r="Q210" s="70">
        <f t="shared" si="169"/>
        <v>0</v>
      </c>
      <c r="R210" s="70">
        <f t="shared" si="169"/>
        <v>0</v>
      </c>
      <c r="S210" s="70">
        <f t="shared" si="169"/>
        <v>0</v>
      </c>
      <c r="T210" s="76">
        <f t="shared" si="169"/>
        <v>0</v>
      </c>
      <c r="U210" s="55">
        <f t="shared" si="169"/>
        <v>0</v>
      </c>
      <c r="V210" s="55">
        <f t="shared" si="169"/>
        <v>0</v>
      </c>
      <c r="W210" s="55">
        <f t="shared" si="169"/>
        <v>0</v>
      </c>
      <c r="X210" s="55">
        <f t="shared" si="169"/>
        <v>2962.5</v>
      </c>
      <c r="Y210" s="106">
        <f t="shared" si="169"/>
        <v>2890</v>
      </c>
      <c r="Z210" s="46"/>
      <c r="AA210" s="81"/>
    </row>
    <row r="211" spans="1:27" ht="37.5">
      <c r="A211" s="56"/>
      <c r="B211" s="57" t="s">
        <v>56</v>
      </c>
      <c r="C211" s="58">
        <v>905</v>
      </c>
      <c r="D211" s="83" t="s">
        <v>200</v>
      </c>
      <c r="E211" s="83" t="s">
        <v>23</v>
      </c>
      <c r="F211" s="58" t="s">
        <v>222</v>
      </c>
      <c r="G211" s="59">
        <v>600</v>
      </c>
      <c r="H211" s="55"/>
      <c r="I211" s="55">
        <v>1900</v>
      </c>
      <c r="J211" s="73"/>
      <c r="K211" s="70">
        <v>2185.3000000000002</v>
      </c>
      <c r="L211" s="70"/>
      <c r="M211" s="70"/>
      <c r="N211" s="70"/>
      <c r="O211" s="70"/>
      <c r="P211" s="55">
        <v>2537</v>
      </c>
      <c r="Q211" s="73"/>
      <c r="R211" s="73"/>
      <c r="S211" s="73"/>
      <c r="T211" s="77"/>
      <c r="U211" s="57"/>
      <c r="V211" s="57"/>
      <c r="W211" s="57"/>
      <c r="X211" s="57">
        <v>2962.5</v>
      </c>
      <c r="Y211" s="106">
        <v>2890</v>
      </c>
      <c r="Z211" s="46"/>
      <c r="AA211" s="81"/>
    </row>
    <row r="212" spans="1:27" ht="40.5" customHeight="1">
      <c r="A212" s="56"/>
      <c r="B212" s="57" t="s">
        <v>131</v>
      </c>
      <c r="C212" s="58">
        <v>905</v>
      </c>
      <c r="D212" s="83" t="s">
        <v>200</v>
      </c>
      <c r="E212" s="83" t="s">
        <v>23</v>
      </c>
      <c r="F212" s="58" t="s">
        <v>132</v>
      </c>
      <c r="G212" s="59" t="s">
        <v>21</v>
      </c>
      <c r="H212" s="55">
        <f t="shared" ref="H212:K213" si="170">H213</f>
        <v>353</v>
      </c>
      <c r="I212" s="55">
        <f t="shared" si="170"/>
        <v>0</v>
      </c>
      <c r="J212" s="73">
        <f t="shared" si="170"/>
        <v>555.1</v>
      </c>
      <c r="K212" s="55">
        <f t="shared" si="170"/>
        <v>0</v>
      </c>
      <c r="L212" s="55"/>
      <c r="M212" s="55"/>
      <c r="N212" s="55"/>
      <c r="O212" s="70">
        <f>O213</f>
        <v>457.3</v>
      </c>
      <c r="P212" s="55">
        <f t="shared" ref="P212:Y213" si="171">P213</f>
        <v>0</v>
      </c>
      <c r="Q212" s="70">
        <f t="shared" si="171"/>
        <v>0</v>
      </c>
      <c r="R212" s="70">
        <f t="shared" si="171"/>
        <v>0</v>
      </c>
      <c r="S212" s="70">
        <f t="shared" si="171"/>
        <v>0</v>
      </c>
      <c r="T212" s="76">
        <f t="shared" si="171"/>
        <v>266.3</v>
      </c>
      <c r="U212" s="55">
        <f t="shared" si="171"/>
        <v>0</v>
      </c>
      <c r="V212" s="55">
        <f t="shared" si="171"/>
        <v>0</v>
      </c>
      <c r="W212" s="55">
        <f t="shared" si="171"/>
        <v>0</v>
      </c>
      <c r="X212" s="55">
        <f t="shared" si="171"/>
        <v>0</v>
      </c>
      <c r="Y212" s="106">
        <f t="shared" si="171"/>
        <v>249.5</v>
      </c>
      <c r="Z212" s="46"/>
      <c r="AA212" s="81"/>
    </row>
    <row r="213" spans="1:27" ht="37.5">
      <c r="A213" s="56" t="s">
        <v>21</v>
      </c>
      <c r="B213" s="57" t="s">
        <v>133</v>
      </c>
      <c r="C213" s="58">
        <v>905</v>
      </c>
      <c r="D213" s="83" t="s">
        <v>200</v>
      </c>
      <c r="E213" s="83" t="s">
        <v>23</v>
      </c>
      <c r="F213" s="58" t="s">
        <v>134</v>
      </c>
      <c r="G213" s="59" t="s">
        <v>21</v>
      </c>
      <c r="H213" s="55">
        <f t="shared" si="170"/>
        <v>353</v>
      </c>
      <c r="I213" s="55">
        <f t="shared" si="170"/>
        <v>0</v>
      </c>
      <c r="J213" s="73">
        <f t="shared" si="170"/>
        <v>555.1</v>
      </c>
      <c r="K213" s="55">
        <f t="shared" si="170"/>
        <v>0</v>
      </c>
      <c r="L213" s="55"/>
      <c r="M213" s="55"/>
      <c r="N213" s="55"/>
      <c r="O213" s="70">
        <f>O214</f>
        <v>457.3</v>
      </c>
      <c r="P213" s="55">
        <f t="shared" si="171"/>
        <v>0</v>
      </c>
      <c r="Q213" s="70">
        <f t="shared" si="171"/>
        <v>0</v>
      </c>
      <c r="R213" s="70">
        <f t="shared" si="171"/>
        <v>0</v>
      </c>
      <c r="S213" s="70">
        <f t="shared" si="171"/>
        <v>0</v>
      </c>
      <c r="T213" s="76">
        <f t="shared" si="171"/>
        <v>266.3</v>
      </c>
      <c r="U213" s="55">
        <f t="shared" si="171"/>
        <v>0</v>
      </c>
      <c r="V213" s="55">
        <f t="shared" si="171"/>
        <v>0</v>
      </c>
      <c r="W213" s="55">
        <f t="shared" si="171"/>
        <v>0</v>
      </c>
      <c r="X213" s="55">
        <f t="shared" si="171"/>
        <v>0</v>
      </c>
      <c r="Y213" s="106">
        <f t="shared" si="171"/>
        <v>249.5</v>
      </c>
      <c r="Z213" s="46"/>
      <c r="AA213" s="81"/>
    </row>
    <row r="214" spans="1:27" ht="37.5" customHeight="1">
      <c r="A214" s="56" t="s">
        <v>21</v>
      </c>
      <c r="B214" s="57" t="s">
        <v>56</v>
      </c>
      <c r="C214" s="58">
        <v>905</v>
      </c>
      <c r="D214" s="83" t="s">
        <v>200</v>
      </c>
      <c r="E214" s="83" t="s">
        <v>23</v>
      </c>
      <c r="F214" s="58" t="s">
        <v>134</v>
      </c>
      <c r="G214" s="59" t="s">
        <v>67</v>
      </c>
      <c r="H214" s="55">
        <v>353</v>
      </c>
      <c r="I214" s="55"/>
      <c r="J214" s="73">
        <v>555.1</v>
      </c>
      <c r="K214" s="70"/>
      <c r="L214" s="70"/>
      <c r="M214" s="70"/>
      <c r="N214" s="70"/>
      <c r="O214" s="70">
        <v>457.3</v>
      </c>
      <c r="P214" s="55">
        <v>0</v>
      </c>
      <c r="Q214" s="85">
        <v>0</v>
      </c>
      <c r="R214" s="73"/>
      <c r="S214" s="73"/>
      <c r="T214" s="77">
        <v>266.3</v>
      </c>
      <c r="U214" s="57"/>
      <c r="V214" s="57"/>
      <c r="W214" s="57"/>
      <c r="X214" s="57"/>
      <c r="Y214" s="106">
        <v>249.5</v>
      </c>
      <c r="Z214" s="46"/>
      <c r="AA214" s="81"/>
    </row>
    <row r="215" spans="1:27" ht="37.5" customHeight="1">
      <c r="A215" s="56"/>
      <c r="B215" s="57" t="s">
        <v>223</v>
      </c>
      <c r="C215" s="58">
        <v>905</v>
      </c>
      <c r="D215" s="83" t="s">
        <v>200</v>
      </c>
      <c r="E215" s="83" t="s">
        <v>23</v>
      </c>
      <c r="F215" s="58" t="s">
        <v>136</v>
      </c>
      <c r="G215" s="59"/>
      <c r="H215" s="55"/>
      <c r="I215" s="55"/>
      <c r="J215" s="73"/>
      <c r="K215" s="70"/>
      <c r="L215" s="70"/>
      <c r="M215" s="70"/>
      <c r="N215" s="70"/>
      <c r="O215" s="70">
        <f t="shared" ref="O215:W215" si="172">O216</f>
        <v>580</v>
      </c>
      <c r="P215" s="55">
        <f t="shared" si="172"/>
        <v>0</v>
      </c>
      <c r="Q215" s="85">
        <f t="shared" si="172"/>
        <v>0</v>
      </c>
      <c r="R215" s="73">
        <f t="shared" si="172"/>
        <v>0</v>
      </c>
      <c r="S215" s="73">
        <f t="shared" si="172"/>
        <v>0</v>
      </c>
      <c r="T215" s="77">
        <f t="shared" si="172"/>
        <v>307.60000000000002</v>
      </c>
      <c r="U215" s="86">
        <f t="shared" si="172"/>
        <v>0</v>
      </c>
      <c r="V215" s="86">
        <f t="shared" si="172"/>
        <v>0</v>
      </c>
      <c r="W215" s="86">
        <f t="shared" si="172"/>
        <v>0</v>
      </c>
      <c r="X215" s="86">
        <f>X216+X219</f>
        <v>476</v>
      </c>
      <c r="Y215" s="106">
        <f>Y216+Y218</f>
        <v>783.85053000000005</v>
      </c>
      <c r="Z215" s="46"/>
      <c r="AA215" s="81"/>
    </row>
    <row r="216" spans="1:27" ht="37.5" customHeight="1">
      <c r="A216" s="56"/>
      <c r="B216" s="57" t="s">
        <v>224</v>
      </c>
      <c r="C216" s="58">
        <v>905</v>
      </c>
      <c r="D216" s="83" t="s">
        <v>200</v>
      </c>
      <c r="E216" s="83" t="s">
        <v>23</v>
      </c>
      <c r="F216" s="58" t="s">
        <v>225</v>
      </c>
      <c r="G216" s="59"/>
      <c r="H216" s="55"/>
      <c r="I216" s="55"/>
      <c r="J216" s="73"/>
      <c r="K216" s="70"/>
      <c r="L216" s="70"/>
      <c r="M216" s="70"/>
      <c r="N216" s="70"/>
      <c r="O216" s="70">
        <f t="shared" ref="O216:Y216" si="173">O217</f>
        <v>580</v>
      </c>
      <c r="P216" s="55">
        <f t="shared" si="173"/>
        <v>0</v>
      </c>
      <c r="Q216" s="85">
        <f t="shared" si="173"/>
        <v>0</v>
      </c>
      <c r="R216" s="73">
        <f t="shared" si="173"/>
        <v>0</v>
      </c>
      <c r="S216" s="73">
        <f t="shared" si="173"/>
        <v>0</v>
      </c>
      <c r="T216" s="77">
        <f t="shared" si="173"/>
        <v>307.60000000000002</v>
      </c>
      <c r="U216" s="86">
        <f t="shared" si="173"/>
        <v>0</v>
      </c>
      <c r="V216" s="86">
        <f t="shared" si="173"/>
        <v>0</v>
      </c>
      <c r="W216" s="86">
        <f t="shared" si="173"/>
        <v>0</v>
      </c>
      <c r="X216" s="86">
        <f t="shared" si="173"/>
        <v>0</v>
      </c>
      <c r="Y216" s="106">
        <f t="shared" si="173"/>
        <v>307.60000000000002</v>
      </c>
      <c r="Z216" s="46"/>
      <c r="AA216" s="81"/>
    </row>
    <row r="217" spans="1:27" ht="42" customHeight="1">
      <c r="A217" s="56"/>
      <c r="B217" s="57" t="s">
        <v>56</v>
      </c>
      <c r="C217" s="58">
        <v>905</v>
      </c>
      <c r="D217" s="83" t="s">
        <v>200</v>
      </c>
      <c r="E217" s="83" t="s">
        <v>23</v>
      </c>
      <c r="F217" s="58" t="s">
        <v>225</v>
      </c>
      <c r="G217" s="59">
        <v>600</v>
      </c>
      <c r="H217" s="55"/>
      <c r="I217" s="55"/>
      <c r="J217" s="73"/>
      <c r="K217" s="70"/>
      <c r="L217" s="70"/>
      <c r="M217" s="70"/>
      <c r="N217" s="70"/>
      <c r="O217" s="70">
        <v>580</v>
      </c>
      <c r="P217" s="55"/>
      <c r="Q217" s="85"/>
      <c r="R217" s="73"/>
      <c r="S217" s="73"/>
      <c r="T217" s="77">
        <v>307.60000000000002</v>
      </c>
      <c r="U217" s="57"/>
      <c r="V217" s="57"/>
      <c r="W217" s="57"/>
      <c r="X217" s="57"/>
      <c r="Y217" s="106">
        <f>T217+U217+V217+W217+X217</f>
        <v>307.60000000000002</v>
      </c>
      <c r="Z217" s="46"/>
      <c r="AA217" s="81"/>
    </row>
    <row r="218" spans="1:27" ht="20.25" customHeight="1">
      <c r="A218" s="56"/>
      <c r="B218" s="57" t="s">
        <v>226</v>
      </c>
      <c r="C218" s="58">
        <v>905</v>
      </c>
      <c r="D218" s="83" t="s">
        <v>200</v>
      </c>
      <c r="E218" s="83" t="s">
        <v>23</v>
      </c>
      <c r="F218" s="58" t="s">
        <v>227</v>
      </c>
      <c r="G218" s="59"/>
      <c r="H218" s="55"/>
      <c r="I218" s="55"/>
      <c r="J218" s="73"/>
      <c r="K218" s="70"/>
      <c r="L218" s="70"/>
      <c r="M218" s="70"/>
      <c r="N218" s="70"/>
      <c r="O218" s="70"/>
      <c r="P218" s="55"/>
      <c r="Q218" s="85"/>
      <c r="R218" s="73"/>
      <c r="S218" s="73"/>
      <c r="T218" s="77"/>
      <c r="U218" s="57"/>
      <c r="V218" s="57"/>
      <c r="W218" s="57"/>
      <c r="X218" s="57"/>
      <c r="Y218" s="106">
        <f>Y219</f>
        <v>476.25053000000003</v>
      </c>
      <c r="Z218" s="46"/>
      <c r="AA218" s="81"/>
    </row>
    <row r="219" spans="1:27" ht="42.95" customHeight="1">
      <c r="A219" s="56"/>
      <c r="B219" s="57" t="s">
        <v>228</v>
      </c>
      <c r="C219" s="58">
        <v>905</v>
      </c>
      <c r="D219" s="83" t="s">
        <v>200</v>
      </c>
      <c r="E219" s="83" t="s">
        <v>23</v>
      </c>
      <c r="F219" s="58" t="s">
        <v>229</v>
      </c>
      <c r="G219" s="59"/>
      <c r="H219" s="55"/>
      <c r="I219" s="55"/>
      <c r="J219" s="73"/>
      <c r="K219" s="70"/>
      <c r="L219" s="70"/>
      <c r="M219" s="70"/>
      <c r="N219" s="70"/>
      <c r="O219" s="70"/>
      <c r="P219" s="55"/>
      <c r="Q219" s="85"/>
      <c r="R219" s="73"/>
      <c r="S219" s="73"/>
      <c r="T219" s="77"/>
      <c r="U219" s="57"/>
      <c r="V219" s="57"/>
      <c r="W219" s="57"/>
      <c r="X219" s="57">
        <f>X220</f>
        <v>476</v>
      </c>
      <c r="Y219" s="106">
        <f>Y220</f>
        <v>476.25053000000003</v>
      </c>
      <c r="Z219" s="46"/>
      <c r="AA219" s="81"/>
    </row>
    <row r="220" spans="1:27" ht="42.75" customHeight="1">
      <c r="A220" s="56"/>
      <c r="B220" s="57" t="s">
        <v>56</v>
      </c>
      <c r="C220" s="58">
        <v>905</v>
      </c>
      <c r="D220" s="83" t="s">
        <v>200</v>
      </c>
      <c r="E220" s="83" t="s">
        <v>23</v>
      </c>
      <c r="F220" s="58" t="s">
        <v>229</v>
      </c>
      <c r="G220" s="59">
        <v>600</v>
      </c>
      <c r="H220" s="55"/>
      <c r="I220" s="55"/>
      <c r="J220" s="73">
        <v>32</v>
      </c>
      <c r="K220" s="70"/>
      <c r="L220" s="70"/>
      <c r="M220" s="70"/>
      <c r="N220" s="55"/>
      <c r="O220" s="70"/>
      <c r="P220" s="55">
        <v>0</v>
      </c>
      <c r="Q220" s="73"/>
      <c r="R220" s="73"/>
      <c r="S220" s="73"/>
      <c r="T220" s="77"/>
      <c r="U220" s="57"/>
      <c r="V220" s="57"/>
      <c r="W220" s="57"/>
      <c r="X220" s="57">
        <v>476</v>
      </c>
      <c r="Y220" s="106">
        <f>476+0.25053</f>
        <v>476.25053000000003</v>
      </c>
      <c r="Z220" s="46"/>
      <c r="AA220" s="81"/>
    </row>
    <row r="221" spans="1:27">
      <c r="A221" s="56" t="s">
        <v>21</v>
      </c>
      <c r="B221" s="57" t="s">
        <v>230</v>
      </c>
      <c r="C221" s="58">
        <v>905</v>
      </c>
      <c r="D221" s="58" t="s">
        <v>200</v>
      </c>
      <c r="E221" s="58" t="s">
        <v>193</v>
      </c>
      <c r="F221" s="58" t="s">
        <v>21</v>
      </c>
      <c r="G221" s="59" t="s">
        <v>21</v>
      </c>
      <c r="H221" s="55" t="e">
        <f>H222+H271+H274+H275+H278+#REF!</f>
        <v>#REF!</v>
      </c>
      <c r="I221" s="55" t="e">
        <f>I222+I271+I274+I275+I278+#REF!</f>
        <v>#REF!</v>
      </c>
      <c r="J221" s="73" t="e">
        <f>J222+J271+J274+J275+J278+#REF!+#REF!</f>
        <v>#REF!</v>
      </c>
      <c r="K221" s="55" t="e">
        <f>K222+K271+K274+K275+K278+#REF!+#REF!</f>
        <v>#REF!</v>
      </c>
      <c r="L221" s="73" t="e">
        <f>L222+L271+L274+L275+L278+#REF!+#REF!</f>
        <v>#REF!</v>
      </c>
      <c r="M221" s="73" t="e">
        <f>M222+M271+M274+M275+M278+#REF!+#REF!</f>
        <v>#REF!</v>
      </c>
      <c r="N221" s="73" t="e">
        <f>N222+N271+N274+N275+N278+#REF!+#REF!</f>
        <v>#REF!</v>
      </c>
      <c r="O221" s="70" t="e">
        <f>O222+O271+O274+O275+O278+#REF!+#REF!</f>
        <v>#REF!</v>
      </c>
      <c r="P221" s="55" t="e">
        <f>P222+P271+P274+P275+P278+#REF!+#REF!</f>
        <v>#REF!</v>
      </c>
      <c r="Q221" s="70" t="e">
        <f>Q222+Q271+Q274+Q275+Q278+#REF!+#REF!</f>
        <v>#REF!</v>
      </c>
      <c r="R221" s="70" t="e">
        <f>R222+R271+R274+R275+R278+#REF!+#REF!</f>
        <v>#REF!</v>
      </c>
      <c r="S221" s="70" t="e">
        <f>S222+S271+S274+S275+S278+#REF!+#REF!</f>
        <v>#REF!</v>
      </c>
      <c r="T221" s="76" t="e">
        <f t="shared" ref="T221:Y221" si="174">T222+T271+T275+T278</f>
        <v>#REF!</v>
      </c>
      <c r="U221" s="76" t="e">
        <f t="shared" si="174"/>
        <v>#REF!</v>
      </c>
      <c r="V221" s="76" t="e">
        <f t="shared" si="174"/>
        <v>#REF!</v>
      </c>
      <c r="W221" s="76" t="e">
        <f t="shared" si="174"/>
        <v>#REF!</v>
      </c>
      <c r="X221" s="76" t="e">
        <f t="shared" si="174"/>
        <v>#REF!</v>
      </c>
      <c r="Y221" s="106">
        <f t="shared" si="174"/>
        <v>419861.94828000001</v>
      </c>
      <c r="Z221" s="46"/>
      <c r="AA221" s="81"/>
    </row>
    <row r="222" spans="1:27" ht="37.5">
      <c r="A222" s="56" t="s">
        <v>21</v>
      </c>
      <c r="B222" s="62" t="s">
        <v>202</v>
      </c>
      <c r="C222" s="58">
        <v>905</v>
      </c>
      <c r="D222" s="58" t="s">
        <v>200</v>
      </c>
      <c r="E222" s="58" t="s">
        <v>193</v>
      </c>
      <c r="F222" s="58" t="s">
        <v>203</v>
      </c>
      <c r="G222" s="59" t="s">
        <v>21</v>
      </c>
      <c r="H222" s="55" t="e">
        <f>H223</f>
        <v>#REF!</v>
      </c>
      <c r="I222" s="55" t="e">
        <f>I223</f>
        <v>#REF!</v>
      </c>
      <c r="J222" s="73" t="e">
        <f>J223</f>
        <v>#REF!</v>
      </c>
      <c r="K222" s="55" t="e">
        <f>K223</f>
        <v>#REF!</v>
      </c>
      <c r="L222" s="55"/>
      <c r="M222" s="55"/>
      <c r="N222" s="55"/>
      <c r="O222" s="70" t="e">
        <f t="shared" ref="O222:Y222" si="175">O223</f>
        <v>#REF!</v>
      </c>
      <c r="P222" s="55" t="e">
        <f t="shared" si="175"/>
        <v>#REF!</v>
      </c>
      <c r="Q222" s="70" t="e">
        <f t="shared" si="175"/>
        <v>#REF!</v>
      </c>
      <c r="R222" s="70" t="e">
        <f t="shared" si="175"/>
        <v>#REF!</v>
      </c>
      <c r="S222" s="70" t="e">
        <f t="shared" si="175"/>
        <v>#REF!</v>
      </c>
      <c r="T222" s="76" t="e">
        <f t="shared" si="175"/>
        <v>#REF!</v>
      </c>
      <c r="U222" s="55" t="e">
        <f t="shared" si="175"/>
        <v>#REF!</v>
      </c>
      <c r="V222" s="55" t="e">
        <f t="shared" si="175"/>
        <v>#REF!</v>
      </c>
      <c r="W222" s="55" t="e">
        <f t="shared" si="175"/>
        <v>#REF!</v>
      </c>
      <c r="X222" s="55" t="e">
        <f t="shared" si="175"/>
        <v>#REF!</v>
      </c>
      <c r="Y222" s="106">
        <f t="shared" si="175"/>
        <v>417822.16227999999</v>
      </c>
      <c r="Z222" s="46"/>
      <c r="AA222" s="81"/>
    </row>
    <row r="223" spans="1:27">
      <c r="A223" s="56" t="s">
        <v>21</v>
      </c>
      <c r="B223" s="57" t="s">
        <v>231</v>
      </c>
      <c r="C223" s="58">
        <v>905</v>
      </c>
      <c r="D223" s="58" t="s">
        <v>200</v>
      </c>
      <c r="E223" s="58" t="s">
        <v>193</v>
      </c>
      <c r="F223" s="58" t="s">
        <v>232</v>
      </c>
      <c r="G223" s="59" t="s">
        <v>21</v>
      </c>
      <c r="H223" s="55" t="e">
        <f>H224+H226+H237+H244+H249+H255+H266</f>
        <v>#REF!</v>
      </c>
      <c r="I223" s="55" t="e">
        <f>I224+I226+I237+I244+I249+I255+I266</f>
        <v>#REF!</v>
      </c>
      <c r="J223" s="73" t="e">
        <f>J224+J226+J237+J244+J249+J255+J266+J252+J247</f>
        <v>#REF!</v>
      </c>
      <c r="K223" s="55" t="e">
        <f>K224+K226+K237+K244+K249+K255+K266+K252+K247+K235</f>
        <v>#REF!</v>
      </c>
      <c r="L223" s="55"/>
      <c r="M223" s="55"/>
      <c r="N223" s="55"/>
      <c r="O223" s="70" t="e">
        <f>O224+O226+O237+O244+O249+O252+O255+O266+O247+O235+O263</f>
        <v>#REF!</v>
      </c>
      <c r="P223" s="70" t="e">
        <f t="shared" ref="P223:S223" si="176">P224+P226+P237+P244+P249+P252+P255+P266+P247+P235+P263</f>
        <v>#REF!</v>
      </c>
      <c r="Q223" s="70" t="e">
        <f t="shared" si="176"/>
        <v>#REF!</v>
      </c>
      <c r="R223" s="70" t="e">
        <f t="shared" si="176"/>
        <v>#REF!</v>
      </c>
      <c r="S223" s="70" t="e">
        <f t="shared" si="176"/>
        <v>#REF!</v>
      </c>
      <c r="T223" s="76" t="e">
        <f t="shared" ref="T223:X223" si="177">T224+T226+T237+T244+T249+T252+T255+T266+T247+T263</f>
        <v>#REF!</v>
      </c>
      <c r="U223" s="55" t="e">
        <f t="shared" ref="U223:W223" si="178">U224+U226+U237+U244+U249+U252+U255+U266+U247+U235+U263</f>
        <v>#REF!</v>
      </c>
      <c r="V223" s="55" t="e">
        <f t="shared" si="178"/>
        <v>#REF!</v>
      </c>
      <c r="W223" s="55" t="e">
        <f t="shared" si="178"/>
        <v>#REF!</v>
      </c>
      <c r="X223" s="76" t="e">
        <f t="shared" si="177"/>
        <v>#REF!</v>
      </c>
      <c r="Y223" s="106">
        <f>Y224+Y226+Y237+Y244+Y249+Y252+Y255+Y266+Y247+Y263+Y258+Y261</f>
        <v>417822.16227999999</v>
      </c>
      <c r="Z223" s="46"/>
      <c r="AA223" s="81"/>
    </row>
    <row r="224" spans="1:27" ht="37.5">
      <c r="A224" s="56"/>
      <c r="B224" s="62" t="s">
        <v>233</v>
      </c>
      <c r="C224" s="58">
        <v>905</v>
      </c>
      <c r="D224" s="58" t="s">
        <v>200</v>
      </c>
      <c r="E224" s="58" t="s">
        <v>193</v>
      </c>
      <c r="F224" s="58" t="s">
        <v>234</v>
      </c>
      <c r="G224" s="59" t="s">
        <v>21</v>
      </c>
      <c r="H224" s="55">
        <f>H225</f>
        <v>935.8</v>
      </c>
      <c r="I224" s="55">
        <f>I225</f>
        <v>0</v>
      </c>
      <c r="J224" s="73">
        <f>J225</f>
        <v>435.5</v>
      </c>
      <c r="K224" s="55">
        <f>K225</f>
        <v>0</v>
      </c>
      <c r="L224" s="55"/>
      <c r="M224" s="55"/>
      <c r="N224" s="55"/>
      <c r="O224" s="70">
        <f t="shared" ref="O224:Y224" si="179">O225</f>
        <v>2028.7</v>
      </c>
      <c r="P224" s="55">
        <f t="shared" si="179"/>
        <v>0</v>
      </c>
      <c r="Q224" s="70">
        <f t="shared" si="179"/>
        <v>0</v>
      </c>
      <c r="R224" s="70">
        <f t="shared" si="179"/>
        <v>0</v>
      </c>
      <c r="S224" s="70">
        <f t="shared" si="179"/>
        <v>0</v>
      </c>
      <c r="T224" s="76">
        <f t="shared" si="179"/>
        <v>0</v>
      </c>
      <c r="U224" s="55">
        <f t="shared" si="179"/>
        <v>0</v>
      </c>
      <c r="V224" s="55">
        <f t="shared" si="179"/>
        <v>0</v>
      </c>
      <c r="W224" s="55">
        <f t="shared" si="179"/>
        <v>0</v>
      </c>
      <c r="X224" s="55">
        <f t="shared" si="179"/>
        <v>0</v>
      </c>
      <c r="Y224" s="106">
        <f t="shared" si="179"/>
        <v>2078.96</v>
      </c>
      <c r="Z224" s="46"/>
      <c r="AA224" s="81"/>
    </row>
    <row r="225" spans="1:27" ht="37.5">
      <c r="A225" s="56"/>
      <c r="B225" s="57" t="s">
        <v>56</v>
      </c>
      <c r="C225" s="58">
        <v>905</v>
      </c>
      <c r="D225" s="58" t="s">
        <v>200</v>
      </c>
      <c r="E225" s="58" t="s">
        <v>193</v>
      </c>
      <c r="F225" s="58" t="s">
        <v>234</v>
      </c>
      <c r="G225" s="59">
        <v>600</v>
      </c>
      <c r="H225" s="55">
        <v>935.8</v>
      </c>
      <c r="I225" s="55"/>
      <c r="J225" s="73">
        <v>435.5</v>
      </c>
      <c r="K225" s="70">
        <v>0</v>
      </c>
      <c r="L225" s="70"/>
      <c r="M225" s="70"/>
      <c r="N225" s="70"/>
      <c r="O225" s="70">
        <v>2028.7</v>
      </c>
      <c r="P225" s="55">
        <v>0</v>
      </c>
      <c r="Q225" s="55">
        <v>0</v>
      </c>
      <c r="R225" s="73"/>
      <c r="S225" s="73"/>
      <c r="T225" s="77"/>
      <c r="U225" s="55"/>
      <c r="V225" s="55"/>
      <c r="W225" s="57"/>
      <c r="X225" s="57"/>
      <c r="Y225" s="106">
        <v>2078.96</v>
      </c>
      <c r="Z225" s="46"/>
      <c r="AA225" s="81"/>
    </row>
    <row r="226" spans="1:27">
      <c r="A226" s="56"/>
      <c r="B226" s="57" t="s">
        <v>235</v>
      </c>
      <c r="C226" s="58">
        <v>905</v>
      </c>
      <c r="D226" s="58" t="s">
        <v>200</v>
      </c>
      <c r="E226" s="58" t="s">
        <v>193</v>
      </c>
      <c r="F226" s="58" t="s">
        <v>236</v>
      </c>
      <c r="G226" s="59"/>
      <c r="H226" s="55" t="e">
        <f>H227+H229+#REF!+#REF!+H231</f>
        <v>#REF!</v>
      </c>
      <c r="I226" s="55" t="e">
        <f>I227+I229+#REF!+#REF!+I231</f>
        <v>#REF!</v>
      </c>
      <c r="J226" s="73" t="e">
        <f>J227+J229+#REF!+#REF!+J231+J233+#REF!</f>
        <v>#REF!</v>
      </c>
      <c r="K226" s="55" t="e">
        <f>K227+K229+#REF!+#REF!+K231+K233+#REF!</f>
        <v>#REF!</v>
      </c>
      <c r="L226" s="55"/>
      <c r="M226" s="55"/>
      <c r="N226" s="55"/>
      <c r="O226" s="70" t="e">
        <f>O227+O229+#REF!+#REF!+O231+O233+#REF!</f>
        <v>#REF!</v>
      </c>
      <c r="P226" s="55" t="e">
        <f>P227+P229+#REF!+#REF!+P231+P233+#REF!</f>
        <v>#REF!</v>
      </c>
      <c r="Q226" s="70" t="e">
        <f>Q227+Q229+#REF!+#REF!+Q231+Q233+#REF!</f>
        <v>#REF!</v>
      </c>
      <c r="R226" s="70" t="e">
        <f>R227+R229+#REF!+#REF!+R231+R233+#REF!</f>
        <v>#REF!</v>
      </c>
      <c r="S226" s="70" t="e">
        <f>S227+S229+#REF!+#REF!+S231+S233+#REF!</f>
        <v>#REF!</v>
      </c>
      <c r="T226" s="76" t="e">
        <f>T227+T229+#REF!+#REF!+T231+T233+#REF!+T235</f>
        <v>#REF!</v>
      </c>
      <c r="U226" s="55" t="e">
        <f>U227+U229+#REF!+#REF!+U231+U233+#REF!</f>
        <v>#REF!</v>
      </c>
      <c r="V226" s="55" t="e">
        <f>V227+V229+#REF!+#REF!+V231+V233+#REF!</f>
        <v>#REF!</v>
      </c>
      <c r="W226" s="55" t="e">
        <f>W227+W229+#REF!+#REF!+W231+W233+#REF!</f>
        <v>#REF!</v>
      </c>
      <c r="X226" s="76" t="e">
        <f>X227+X229+#REF!+#REF!+X231+X233+#REF!+X235</f>
        <v>#REF!</v>
      </c>
      <c r="Y226" s="106">
        <f>Y227+Y229+Y231+Y233+Y235</f>
        <v>25316.6666</v>
      </c>
      <c r="Z226" s="46"/>
      <c r="AA226" s="81"/>
    </row>
    <row r="227" spans="1:27">
      <c r="A227" s="56"/>
      <c r="B227" s="57" t="s">
        <v>237</v>
      </c>
      <c r="C227" s="58">
        <v>905</v>
      </c>
      <c r="D227" s="58" t="s">
        <v>200</v>
      </c>
      <c r="E227" s="58" t="s">
        <v>193</v>
      </c>
      <c r="F227" s="58" t="s">
        <v>238</v>
      </c>
      <c r="G227" s="59"/>
      <c r="H227" s="55">
        <f>H228</f>
        <v>10864.7</v>
      </c>
      <c r="I227" s="55">
        <f>I228</f>
        <v>0</v>
      </c>
      <c r="J227" s="73">
        <f>J228</f>
        <v>7971.1</v>
      </c>
      <c r="K227" s="55">
        <f>K228</f>
        <v>0</v>
      </c>
      <c r="L227" s="55"/>
      <c r="M227" s="55"/>
      <c r="N227" s="55"/>
      <c r="O227" s="70">
        <f t="shared" ref="O227:Y227" si="180">O228</f>
        <v>7843.4</v>
      </c>
      <c r="P227" s="55">
        <f t="shared" si="180"/>
        <v>0</v>
      </c>
      <c r="Q227" s="70">
        <f t="shared" si="180"/>
        <v>0</v>
      </c>
      <c r="R227" s="70">
        <f t="shared" si="180"/>
        <v>0</v>
      </c>
      <c r="S227" s="70">
        <f t="shared" si="180"/>
        <v>0</v>
      </c>
      <c r="T227" s="76">
        <f t="shared" si="180"/>
        <v>8020.77</v>
      </c>
      <c r="U227" s="55">
        <f t="shared" si="180"/>
        <v>0</v>
      </c>
      <c r="V227" s="55">
        <f t="shared" si="180"/>
        <v>0</v>
      </c>
      <c r="W227" s="55">
        <f t="shared" si="180"/>
        <v>0</v>
      </c>
      <c r="X227" s="55">
        <f t="shared" si="180"/>
        <v>0</v>
      </c>
      <c r="Y227" s="106">
        <f t="shared" si="180"/>
        <v>13427.3086</v>
      </c>
      <c r="Z227" s="46"/>
      <c r="AA227" s="81"/>
    </row>
    <row r="228" spans="1:27" ht="37.5">
      <c r="A228" s="56"/>
      <c r="B228" s="57" t="s">
        <v>56</v>
      </c>
      <c r="C228" s="58">
        <v>905</v>
      </c>
      <c r="D228" s="58" t="s">
        <v>200</v>
      </c>
      <c r="E228" s="58" t="s">
        <v>193</v>
      </c>
      <c r="F228" s="58" t="s">
        <v>238</v>
      </c>
      <c r="G228" s="59">
        <v>600</v>
      </c>
      <c r="H228" s="55">
        <v>10864.7</v>
      </c>
      <c r="I228" s="55"/>
      <c r="J228" s="73">
        <v>7971.1</v>
      </c>
      <c r="K228" s="70"/>
      <c r="L228" s="70"/>
      <c r="M228" s="70"/>
      <c r="N228" s="70"/>
      <c r="O228" s="70">
        <v>7843.4</v>
      </c>
      <c r="P228" s="55">
        <v>0</v>
      </c>
      <c r="Q228" s="55">
        <v>0</v>
      </c>
      <c r="R228" s="73"/>
      <c r="S228" s="73"/>
      <c r="T228" s="77">
        <f>8200-168.2-11.03</f>
        <v>8020.77</v>
      </c>
      <c r="U228" s="55">
        <v>0</v>
      </c>
      <c r="V228" s="55">
        <v>0</v>
      </c>
      <c r="W228" s="57"/>
      <c r="X228" s="57"/>
      <c r="Y228" s="106">
        <v>13427.3086</v>
      </c>
      <c r="Z228" s="46"/>
      <c r="AA228" s="81"/>
    </row>
    <row r="229" spans="1:27" ht="39.75" customHeight="1">
      <c r="A229" s="56"/>
      <c r="B229" s="57" t="s">
        <v>239</v>
      </c>
      <c r="C229" s="58">
        <v>905</v>
      </c>
      <c r="D229" s="58" t="s">
        <v>200</v>
      </c>
      <c r="E229" s="58" t="s">
        <v>193</v>
      </c>
      <c r="F229" s="58" t="s">
        <v>240</v>
      </c>
      <c r="G229" s="59"/>
      <c r="H229" s="55">
        <f>H230</f>
        <v>3163</v>
      </c>
      <c r="I229" s="55">
        <f>I230</f>
        <v>0</v>
      </c>
      <c r="J229" s="73">
        <f>J230</f>
        <v>2895.8</v>
      </c>
      <c r="K229" s="55">
        <f>K230</f>
        <v>0</v>
      </c>
      <c r="L229" s="55"/>
      <c r="M229" s="55"/>
      <c r="N229" s="55"/>
      <c r="O229" s="70">
        <f t="shared" ref="O229:Y229" si="181">O230</f>
        <v>541.29999999999995</v>
      </c>
      <c r="P229" s="55">
        <f t="shared" si="181"/>
        <v>0</v>
      </c>
      <c r="Q229" s="70">
        <f t="shared" si="181"/>
        <v>0</v>
      </c>
      <c r="R229" s="70">
        <f t="shared" si="181"/>
        <v>0</v>
      </c>
      <c r="S229" s="70">
        <f t="shared" si="181"/>
        <v>0</v>
      </c>
      <c r="T229" s="76">
        <f t="shared" si="181"/>
        <v>3677.5</v>
      </c>
      <c r="U229" s="55">
        <f t="shared" si="181"/>
        <v>0</v>
      </c>
      <c r="V229" s="55">
        <f t="shared" si="181"/>
        <v>0</v>
      </c>
      <c r="W229" s="55">
        <f t="shared" si="181"/>
        <v>0</v>
      </c>
      <c r="X229" s="55">
        <f t="shared" si="181"/>
        <v>0</v>
      </c>
      <c r="Y229" s="106">
        <f t="shared" si="181"/>
        <v>7853.1840000000002</v>
      </c>
      <c r="Z229" s="46"/>
      <c r="AA229" s="81"/>
    </row>
    <row r="230" spans="1:27" ht="37.5" customHeight="1">
      <c r="A230" s="56"/>
      <c r="B230" s="57" t="s">
        <v>56</v>
      </c>
      <c r="C230" s="58">
        <v>905</v>
      </c>
      <c r="D230" s="58" t="s">
        <v>200</v>
      </c>
      <c r="E230" s="58" t="s">
        <v>193</v>
      </c>
      <c r="F230" s="58" t="s">
        <v>240</v>
      </c>
      <c r="G230" s="59">
        <v>600</v>
      </c>
      <c r="H230" s="55">
        <v>3163</v>
      </c>
      <c r="I230" s="55"/>
      <c r="J230" s="73">
        <v>2895.8</v>
      </c>
      <c r="K230" s="70">
        <v>0</v>
      </c>
      <c r="L230" s="70"/>
      <c r="M230" s="70"/>
      <c r="N230" s="70"/>
      <c r="O230" s="70">
        <v>541.29999999999995</v>
      </c>
      <c r="P230" s="55">
        <v>0</v>
      </c>
      <c r="Q230" s="55"/>
      <c r="R230" s="55">
        <v>0</v>
      </c>
      <c r="S230" s="73"/>
      <c r="T230" s="77">
        <f>616+3061.5</f>
        <v>3677.5</v>
      </c>
      <c r="U230" s="55">
        <v>0</v>
      </c>
      <c r="V230" s="55"/>
      <c r="W230" s="57"/>
      <c r="X230" s="57">
        <v>0</v>
      </c>
      <c r="Y230" s="106">
        <v>7853.1840000000002</v>
      </c>
      <c r="Z230" s="46"/>
      <c r="AA230" s="81"/>
    </row>
    <row r="231" spans="1:27" ht="41.25" customHeight="1">
      <c r="A231" s="56"/>
      <c r="B231" s="57" t="s">
        <v>241</v>
      </c>
      <c r="C231" s="58">
        <v>905</v>
      </c>
      <c r="D231" s="58" t="s">
        <v>200</v>
      </c>
      <c r="E231" s="58" t="s">
        <v>193</v>
      </c>
      <c r="F231" s="58" t="s">
        <v>242</v>
      </c>
      <c r="G231" s="59"/>
      <c r="H231" s="55">
        <f>H232</f>
        <v>70</v>
      </c>
      <c r="I231" s="55">
        <f>I232</f>
        <v>0</v>
      </c>
      <c r="J231" s="73">
        <f>J232</f>
        <v>70</v>
      </c>
      <c r="K231" s="55">
        <f>K232</f>
        <v>0</v>
      </c>
      <c r="L231" s="55"/>
      <c r="M231" s="55"/>
      <c r="N231" s="55"/>
      <c r="O231" s="70">
        <f t="shared" ref="O231:Y231" si="182">O232</f>
        <v>70</v>
      </c>
      <c r="P231" s="55">
        <f t="shared" si="182"/>
        <v>0</v>
      </c>
      <c r="Q231" s="70">
        <f t="shared" si="182"/>
        <v>0</v>
      </c>
      <c r="R231" s="70">
        <f t="shared" si="182"/>
        <v>0</v>
      </c>
      <c r="S231" s="70">
        <f t="shared" si="182"/>
        <v>0</v>
      </c>
      <c r="T231" s="76">
        <f t="shared" si="182"/>
        <v>70</v>
      </c>
      <c r="U231" s="55">
        <f t="shared" si="182"/>
        <v>0</v>
      </c>
      <c r="V231" s="55">
        <f t="shared" si="182"/>
        <v>0</v>
      </c>
      <c r="W231" s="55">
        <f t="shared" si="182"/>
        <v>0</v>
      </c>
      <c r="X231" s="55">
        <f t="shared" si="182"/>
        <v>0</v>
      </c>
      <c r="Y231" s="106">
        <f t="shared" si="182"/>
        <v>70</v>
      </c>
      <c r="Z231" s="46"/>
      <c r="AA231" s="81"/>
    </row>
    <row r="232" spans="1:27" ht="36" customHeight="1">
      <c r="A232" s="56"/>
      <c r="B232" s="57" t="s">
        <v>56</v>
      </c>
      <c r="C232" s="58">
        <v>905</v>
      </c>
      <c r="D232" s="58" t="s">
        <v>200</v>
      </c>
      <c r="E232" s="58" t="s">
        <v>193</v>
      </c>
      <c r="F232" s="58" t="s">
        <v>242</v>
      </c>
      <c r="G232" s="59">
        <v>600</v>
      </c>
      <c r="H232" s="55">
        <v>70</v>
      </c>
      <c r="I232" s="55"/>
      <c r="J232" s="73">
        <v>70</v>
      </c>
      <c r="K232" s="70"/>
      <c r="L232" s="70"/>
      <c r="M232" s="70"/>
      <c r="N232" s="70"/>
      <c r="O232" s="70">
        <v>70</v>
      </c>
      <c r="P232" s="55"/>
      <c r="Q232" s="73"/>
      <c r="R232" s="73"/>
      <c r="S232" s="73"/>
      <c r="T232" s="77">
        <v>70</v>
      </c>
      <c r="U232" s="57"/>
      <c r="V232" s="57"/>
      <c r="W232" s="57"/>
      <c r="X232" s="57"/>
      <c r="Y232" s="106">
        <f>T232+U232+V232+W232+X232</f>
        <v>70</v>
      </c>
      <c r="Z232" s="46"/>
      <c r="AA232" s="81"/>
    </row>
    <row r="233" spans="1:27">
      <c r="A233" s="56"/>
      <c r="B233" s="57" t="s">
        <v>243</v>
      </c>
      <c r="C233" s="58">
        <v>905</v>
      </c>
      <c r="D233" s="58" t="s">
        <v>200</v>
      </c>
      <c r="E233" s="58" t="s">
        <v>193</v>
      </c>
      <c r="F233" s="58" t="s">
        <v>244</v>
      </c>
      <c r="G233" s="59"/>
      <c r="H233" s="55"/>
      <c r="I233" s="55"/>
      <c r="J233" s="73">
        <f>J234</f>
        <v>0</v>
      </c>
      <c r="K233" s="55">
        <f>K234</f>
        <v>0</v>
      </c>
      <c r="L233" s="55"/>
      <c r="M233" s="55"/>
      <c r="N233" s="55"/>
      <c r="O233" s="70">
        <f t="shared" ref="O233:T233" si="183">O234</f>
        <v>0</v>
      </c>
      <c r="P233" s="55">
        <f t="shared" si="183"/>
        <v>0</v>
      </c>
      <c r="Q233" s="70">
        <f t="shared" si="183"/>
        <v>0</v>
      </c>
      <c r="R233" s="70">
        <f t="shared" si="183"/>
        <v>0</v>
      </c>
      <c r="S233" s="70">
        <f t="shared" si="183"/>
        <v>0</v>
      </c>
      <c r="T233" s="76">
        <f t="shared" si="183"/>
        <v>0</v>
      </c>
      <c r="U233" s="57"/>
      <c r="V233" s="57"/>
      <c r="W233" s="57"/>
      <c r="X233" s="57"/>
      <c r="Y233" s="106">
        <f>Y234</f>
        <v>599.97400000000005</v>
      </c>
      <c r="Z233" s="46"/>
      <c r="AA233" s="81"/>
    </row>
    <row r="234" spans="1:27" ht="37.5">
      <c r="A234" s="56"/>
      <c r="B234" s="57" t="s">
        <v>56</v>
      </c>
      <c r="C234" s="58">
        <v>905</v>
      </c>
      <c r="D234" s="58" t="s">
        <v>200</v>
      </c>
      <c r="E234" s="58" t="s">
        <v>193</v>
      </c>
      <c r="F234" s="58" t="s">
        <v>244</v>
      </c>
      <c r="G234" s="59">
        <v>600</v>
      </c>
      <c r="H234" s="55"/>
      <c r="I234" s="55"/>
      <c r="J234" s="73"/>
      <c r="K234" s="70"/>
      <c r="L234" s="70"/>
      <c r="M234" s="70"/>
      <c r="N234" s="70"/>
      <c r="O234" s="70"/>
      <c r="P234" s="55">
        <v>0</v>
      </c>
      <c r="Q234" s="73"/>
      <c r="R234" s="73"/>
      <c r="S234" s="73"/>
      <c r="T234" s="77">
        <f>O234+P234+Q234+R234+S234</f>
        <v>0</v>
      </c>
      <c r="U234" s="57"/>
      <c r="V234" s="57"/>
      <c r="W234" s="57"/>
      <c r="X234" s="57"/>
      <c r="Y234" s="106">
        <v>599.97400000000005</v>
      </c>
      <c r="Z234" s="46"/>
      <c r="AA234" s="81"/>
    </row>
    <row r="235" spans="1:27" ht="61.5" customHeight="1">
      <c r="A235" s="56"/>
      <c r="B235" s="57" t="s">
        <v>245</v>
      </c>
      <c r="C235" s="58">
        <v>905</v>
      </c>
      <c r="D235" s="58" t="s">
        <v>200</v>
      </c>
      <c r="E235" s="58" t="s">
        <v>193</v>
      </c>
      <c r="F235" s="58" t="s">
        <v>246</v>
      </c>
      <c r="G235" s="59"/>
      <c r="H235" s="55"/>
      <c r="I235" s="55"/>
      <c r="J235" s="73"/>
      <c r="K235" s="70">
        <f>K236</f>
        <v>2902</v>
      </c>
      <c r="L235" s="70"/>
      <c r="M235" s="70"/>
      <c r="N235" s="70"/>
      <c r="O235" s="70">
        <f t="shared" ref="O235:Y235" si="184">O236</f>
        <v>0</v>
      </c>
      <c r="P235" s="55">
        <f t="shared" si="184"/>
        <v>2805</v>
      </c>
      <c r="Q235" s="70">
        <f t="shared" si="184"/>
        <v>0</v>
      </c>
      <c r="R235" s="70">
        <f t="shared" si="184"/>
        <v>0</v>
      </c>
      <c r="S235" s="70">
        <f t="shared" si="184"/>
        <v>0</v>
      </c>
      <c r="T235" s="76">
        <f t="shared" si="184"/>
        <v>168.2</v>
      </c>
      <c r="U235" s="55">
        <f t="shared" si="184"/>
        <v>0</v>
      </c>
      <c r="V235" s="55">
        <f t="shared" si="184"/>
        <v>0</v>
      </c>
      <c r="W235" s="55">
        <f t="shared" si="184"/>
        <v>0</v>
      </c>
      <c r="X235" s="55">
        <f t="shared" si="184"/>
        <v>3198</v>
      </c>
      <c r="Y235" s="106">
        <f t="shared" si="184"/>
        <v>3366.2</v>
      </c>
      <c r="Z235" s="46"/>
      <c r="AA235" s="81"/>
    </row>
    <row r="236" spans="1:27" ht="37.5">
      <c r="A236" s="56"/>
      <c r="B236" s="57" t="s">
        <v>56</v>
      </c>
      <c r="C236" s="58">
        <v>905</v>
      </c>
      <c r="D236" s="58" t="s">
        <v>200</v>
      </c>
      <c r="E236" s="58" t="s">
        <v>193</v>
      </c>
      <c r="F236" s="58" t="s">
        <v>246</v>
      </c>
      <c r="G236" s="59">
        <v>600</v>
      </c>
      <c r="H236" s="55"/>
      <c r="I236" s="55"/>
      <c r="J236" s="73"/>
      <c r="K236" s="70">
        <v>2902</v>
      </c>
      <c r="L236" s="70"/>
      <c r="M236" s="70"/>
      <c r="N236" s="70"/>
      <c r="O236" s="70"/>
      <c r="P236" s="55">
        <v>2805</v>
      </c>
      <c r="Q236" s="55">
        <v>0</v>
      </c>
      <c r="R236" s="55">
        <v>0</v>
      </c>
      <c r="S236" s="55">
        <v>0</v>
      </c>
      <c r="T236" s="77">
        <v>168.2</v>
      </c>
      <c r="U236" s="55">
        <v>0</v>
      </c>
      <c r="V236" s="57"/>
      <c r="W236" s="57"/>
      <c r="X236" s="57">
        <v>3198</v>
      </c>
      <c r="Y236" s="106">
        <f>T236+U236+V236+W236+X236</f>
        <v>3366.2</v>
      </c>
      <c r="Z236" s="46"/>
      <c r="AA236" s="81"/>
    </row>
    <row r="237" spans="1:27" ht="22.5" customHeight="1">
      <c r="A237" s="56" t="s">
        <v>21</v>
      </c>
      <c r="B237" s="57" t="s">
        <v>63</v>
      </c>
      <c r="C237" s="58">
        <v>905</v>
      </c>
      <c r="D237" s="58" t="s">
        <v>200</v>
      </c>
      <c r="E237" s="58" t="s">
        <v>193</v>
      </c>
      <c r="F237" s="58" t="s">
        <v>247</v>
      </c>
      <c r="G237" s="59"/>
      <c r="H237" s="55">
        <f>H238+H240+H242</f>
        <v>58903.1</v>
      </c>
      <c r="I237" s="55">
        <f>I238+I240+I242</f>
        <v>163330.6</v>
      </c>
      <c r="J237" s="73">
        <f>J238+J240+J242</f>
        <v>64802.000000000007</v>
      </c>
      <c r="K237" s="55">
        <f>K238+K240+K242</f>
        <v>190199.7</v>
      </c>
      <c r="L237" s="55"/>
      <c r="M237" s="55"/>
      <c r="N237" s="55"/>
      <c r="O237" s="70">
        <f t="shared" ref="O237:T237" si="185">O238+O240+O242</f>
        <v>59454.499999999993</v>
      </c>
      <c r="P237" s="55">
        <f t="shared" si="185"/>
        <v>211879</v>
      </c>
      <c r="Q237" s="70">
        <f t="shared" si="185"/>
        <v>0</v>
      </c>
      <c r="R237" s="70">
        <f t="shared" si="185"/>
        <v>0</v>
      </c>
      <c r="S237" s="70">
        <f t="shared" si="185"/>
        <v>0</v>
      </c>
      <c r="T237" s="76">
        <f t="shared" si="185"/>
        <v>68787.194999999992</v>
      </c>
      <c r="U237" s="55">
        <f t="shared" ref="U237:Y237" si="186">U238+U240+U242</f>
        <v>0</v>
      </c>
      <c r="V237" s="55">
        <f t="shared" si="186"/>
        <v>0</v>
      </c>
      <c r="W237" s="55">
        <f t="shared" si="186"/>
        <v>0</v>
      </c>
      <c r="X237" s="55">
        <f t="shared" si="186"/>
        <v>235605</v>
      </c>
      <c r="Y237" s="106">
        <f t="shared" si="186"/>
        <v>332420.239</v>
      </c>
      <c r="Z237" s="46"/>
      <c r="AA237" s="81"/>
    </row>
    <row r="238" spans="1:27" ht="37.5">
      <c r="A238" s="56"/>
      <c r="B238" s="57" t="s">
        <v>65</v>
      </c>
      <c r="C238" s="58">
        <v>905</v>
      </c>
      <c r="D238" s="58" t="s">
        <v>200</v>
      </c>
      <c r="E238" s="58" t="s">
        <v>193</v>
      </c>
      <c r="F238" s="58" t="s">
        <v>248</v>
      </c>
      <c r="G238" s="59" t="s">
        <v>21</v>
      </c>
      <c r="H238" s="55">
        <f>H239</f>
        <v>58534.1</v>
      </c>
      <c r="I238" s="55">
        <f>I239</f>
        <v>0</v>
      </c>
      <c r="J238" s="73">
        <f>J239</f>
        <v>64541.100000000006</v>
      </c>
      <c r="K238" s="55">
        <f>K239</f>
        <v>0</v>
      </c>
      <c r="L238" s="55"/>
      <c r="M238" s="55"/>
      <c r="N238" s="55"/>
      <c r="O238" s="70">
        <f t="shared" ref="O238:Y238" si="187">O239</f>
        <v>59137.899999999994</v>
      </c>
      <c r="P238" s="55">
        <f t="shared" si="187"/>
        <v>0</v>
      </c>
      <c r="Q238" s="70">
        <f t="shared" si="187"/>
        <v>0</v>
      </c>
      <c r="R238" s="70">
        <f t="shared" si="187"/>
        <v>0</v>
      </c>
      <c r="S238" s="70">
        <f t="shared" si="187"/>
        <v>0</v>
      </c>
      <c r="T238" s="76">
        <f t="shared" si="187"/>
        <v>68501.494999999995</v>
      </c>
      <c r="U238" s="55">
        <f t="shared" si="187"/>
        <v>0</v>
      </c>
      <c r="V238" s="55">
        <f t="shared" si="187"/>
        <v>0</v>
      </c>
      <c r="W238" s="55">
        <f t="shared" si="187"/>
        <v>0</v>
      </c>
      <c r="X238" s="55">
        <f t="shared" si="187"/>
        <v>0</v>
      </c>
      <c r="Y238" s="106">
        <f t="shared" si="187"/>
        <v>75297.138999999996</v>
      </c>
      <c r="Z238" s="46"/>
      <c r="AA238" s="81"/>
    </row>
    <row r="239" spans="1:27" ht="37.5">
      <c r="A239" s="56"/>
      <c r="B239" s="57" t="s">
        <v>56</v>
      </c>
      <c r="C239" s="58">
        <v>905</v>
      </c>
      <c r="D239" s="58" t="s">
        <v>200</v>
      </c>
      <c r="E239" s="58" t="s">
        <v>193</v>
      </c>
      <c r="F239" s="58" t="s">
        <v>248</v>
      </c>
      <c r="G239" s="59">
        <v>600</v>
      </c>
      <c r="H239" s="55">
        <f>65913.7-7010.6-369</f>
        <v>58534.1</v>
      </c>
      <c r="I239" s="55"/>
      <c r="J239" s="73">
        <f>69759-260.9-4957</f>
        <v>64541.100000000006</v>
      </c>
      <c r="K239" s="70">
        <v>0</v>
      </c>
      <c r="L239" s="70"/>
      <c r="M239" s="70"/>
      <c r="N239" s="70"/>
      <c r="O239" s="70">
        <f>62303.2-3.733-3165.3+3.733</f>
        <v>59137.899999999994</v>
      </c>
      <c r="P239" s="55">
        <v>0</v>
      </c>
      <c r="Q239" s="55">
        <v>0</v>
      </c>
      <c r="R239" s="73"/>
      <c r="S239" s="73"/>
      <c r="T239" s="77">
        <f>69013.495-762+250</f>
        <v>68501.494999999995</v>
      </c>
      <c r="U239" s="55"/>
      <c r="V239" s="55">
        <v>0</v>
      </c>
      <c r="W239" s="57"/>
      <c r="X239" s="57"/>
      <c r="Y239" s="106">
        <f>76792.639-1495.5</f>
        <v>75297.138999999996</v>
      </c>
      <c r="Z239" s="46"/>
      <c r="AA239" s="81"/>
    </row>
    <row r="240" spans="1:27" ht="37.5">
      <c r="A240" s="56" t="s">
        <v>21</v>
      </c>
      <c r="B240" s="57" t="s">
        <v>68</v>
      </c>
      <c r="C240" s="58">
        <v>905</v>
      </c>
      <c r="D240" s="58" t="s">
        <v>200</v>
      </c>
      <c r="E240" s="58" t="s">
        <v>193</v>
      </c>
      <c r="F240" s="58" t="s">
        <v>249</v>
      </c>
      <c r="G240" s="59"/>
      <c r="H240" s="55">
        <f>H241</f>
        <v>369</v>
      </c>
      <c r="I240" s="55">
        <f>I241</f>
        <v>7010.6</v>
      </c>
      <c r="J240" s="73">
        <f>J241</f>
        <v>260.89999999999998</v>
      </c>
      <c r="K240" s="55">
        <f>K241</f>
        <v>4957</v>
      </c>
      <c r="L240" s="55"/>
      <c r="M240" s="55"/>
      <c r="N240" s="55"/>
      <c r="O240" s="70">
        <f t="shared" ref="O240:Y240" si="188">O241</f>
        <v>316.60000000000002</v>
      </c>
      <c r="P240" s="55">
        <f t="shared" si="188"/>
        <v>6014</v>
      </c>
      <c r="Q240" s="70">
        <f t="shared" si="188"/>
        <v>0</v>
      </c>
      <c r="R240" s="70">
        <f t="shared" si="188"/>
        <v>0</v>
      </c>
      <c r="S240" s="70">
        <f t="shared" si="188"/>
        <v>0</v>
      </c>
      <c r="T240" s="76">
        <f t="shared" si="188"/>
        <v>285.7</v>
      </c>
      <c r="U240" s="55">
        <f t="shared" si="188"/>
        <v>0</v>
      </c>
      <c r="V240" s="55">
        <f t="shared" si="188"/>
        <v>0</v>
      </c>
      <c r="W240" s="55">
        <f t="shared" si="188"/>
        <v>0</v>
      </c>
      <c r="X240" s="55">
        <f t="shared" si="188"/>
        <v>5429</v>
      </c>
      <c r="Y240" s="106">
        <f t="shared" si="188"/>
        <v>5714.7</v>
      </c>
      <c r="Z240" s="46"/>
      <c r="AA240" s="81"/>
    </row>
    <row r="241" spans="1:27" ht="37.5">
      <c r="A241" s="56"/>
      <c r="B241" s="57" t="s">
        <v>56</v>
      </c>
      <c r="C241" s="58">
        <v>905</v>
      </c>
      <c r="D241" s="58" t="s">
        <v>200</v>
      </c>
      <c r="E241" s="58" t="s">
        <v>193</v>
      </c>
      <c r="F241" s="58" t="s">
        <v>249</v>
      </c>
      <c r="G241" s="59">
        <v>600</v>
      </c>
      <c r="H241" s="55">
        <v>369</v>
      </c>
      <c r="I241" s="55">
        <v>7010.6</v>
      </c>
      <c r="J241" s="73">
        <v>260.89999999999998</v>
      </c>
      <c r="K241" s="70">
        <v>4957</v>
      </c>
      <c r="L241" s="70"/>
      <c r="M241" s="70"/>
      <c r="N241" s="70"/>
      <c r="O241" s="70">
        <f>158.3+158.3</f>
        <v>316.60000000000002</v>
      </c>
      <c r="P241" s="55">
        <f>3007+3007</f>
        <v>6014</v>
      </c>
      <c r="Q241" s="73"/>
      <c r="R241" s="73"/>
      <c r="S241" s="73"/>
      <c r="T241" s="77">
        <v>285.7</v>
      </c>
      <c r="U241" s="57"/>
      <c r="V241" s="57"/>
      <c r="W241" s="57"/>
      <c r="X241" s="80">
        <v>5429</v>
      </c>
      <c r="Y241" s="106">
        <f>T241+U241+V241+W241+X241</f>
        <v>5714.7</v>
      </c>
      <c r="Z241" s="46"/>
      <c r="AA241" s="81"/>
    </row>
    <row r="242" spans="1:27" ht="81.75" customHeight="1">
      <c r="A242" s="56"/>
      <c r="B242" s="57" t="s">
        <v>250</v>
      </c>
      <c r="C242" s="58">
        <v>905</v>
      </c>
      <c r="D242" s="58" t="s">
        <v>200</v>
      </c>
      <c r="E242" s="58" t="s">
        <v>193</v>
      </c>
      <c r="F242" s="58" t="s">
        <v>251</v>
      </c>
      <c r="G242" s="59" t="s">
        <v>21</v>
      </c>
      <c r="H242" s="55">
        <f>H243</f>
        <v>0</v>
      </c>
      <c r="I242" s="55">
        <f>I243</f>
        <v>156320</v>
      </c>
      <c r="J242" s="73">
        <f>J243</f>
        <v>0</v>
      </c>
      <c r="K242" s="55">
        <f>K243</f>
        <v>185242.7</v>
      </c>
      <c r="L242" s="55"/>
      <c r="M242" s="55"/>
      <c r="N242" s="55"/>
      <c r="O242" s="70">
        <f t="shared" ref="O242:Y242" si="189">O243</f>
        <v>0</v>
      </c>
      <c r="P242" s="55">
        <f t="shared" si="189"/>
        <v>205865</v>
      </c>
      <c r="Q242" s="70">
        <f t="shared" si="189"/>
        <v>0</v>
      </c>
      <c r="R242" s="70">
        <f t="shared" si="189"/>
        <v>0</v>
      </c>
      <c r="S242" s="70">
        <f t="shared" si="189"/>
        <v>0</v>
      </c>
      <c r="T242" s="76">
        <f t="shared" si="189"/>
        <v>0</v>
      </c>
      <c r="U242" s="55">
        <f t="shared" si="189"/>
        <v>0</v>
      </c>
      <c r="V242" s="55">
        <f t="shared" si="189"/>
        <v>0</v>
      </c>
      <c r="W242" s="55">
        <f t="shared" si="189"/>
        <v>0</v>
      </c>
      <c r="X242" s="55">
        <f t="shared" si="189"/>
        <v>230176</v>
      </c>
      <c r="Y242" s="106">
        <f t="shared" si="189"/>
        <v>251408.4</v>
      </c>
      <c r="Z242" s="46"/>
      <c r="AA242" s="81"/>
    </row>
    <row r="243" spans="1:27" ht="37.5">
      <c r="A243" s="56"/>
      <c r="B243" s="57" t="s">
        <v>56</v>
      </c>
      <c r="C243" s="58">
        <v>905</v>
      </c>
      <c r="D243" s="58" t="s">
        <v>200</v>
      </c>
      <c r="E243" s="58" t="s">
        <v>193</v>
      </c>
      <c r="F243" s="58" t="s">
        <v>251</v>
      </c>
      <c r="G243" s="59">
        <v>600</v>
      </c>
      <c r="H243" s="55"/>
      <c r="I243" s="55">
        <v>156320</v>
      </c>
      <c r="J243" s="73"/>
      <c r="K243" s="70">
        <v>185242.7</v>
      </c>
      <c r="L243" s="70"/>
      <c r="M243" s="70"/>
      <c r="N243" s="70"/>
      <c r="O243" s="70"/>
      <c r="P243" s="55">
        <v>205865</v>
      </c>
      <c r="Q243" s="73"/>
      <c r="R243" s="73"/>
      <c r="S243" s="55">
        <v>0</v>
      </c>
      <c r="T243" s="77"/>
      <c r="U243" s="57"/>
      <c r="V243" s="57"/>
      <c r="W243" s="57"/>
      <c r="X243" s="80">
        <f>205865+24311</f>
        <v>230176</v>
      </c>
      <c r="Y243" s="106">
        <v>251408.4</v>
      </c>
      <c r="Z243" s="46"/>
      <c r="AA243" s="81"/>
    </row>
    <row r="244" spans="1:27" ht="57" customHeight="1">
      <c r="A244" s="56"/>
      <c r="B244" s="57" t="s">
        <v>72</v>
      </c>
      <c r="C244" s="58">
        <v>905</v>
      </c>
      <c r="D244" s="83" t="s">
        <v>200</v>
      </c>
      <c r="E244" s="83" t="s">
        <v>193</v>
      </c>
      <c r="F244" s="58" t="s">
        <v>252</v>
      </c>
      <c r="G244" s="59"/>
      <c r="H244" s="55">
        <f t="shared" ref="H244:K245" si="190">H245</f>
        <v>0</v>
      </c>
      <c r="I244" s="55">
        <f t="shared" si="190"/>
        <v>5050.8</v>
      </c>
      <c r="J244" s="73">
        <f t="shared" si="190"/>
        <v>0</v>
      </c>
      <c r="K244" s="55">
        <f t="shared" si="190"/>
        <v>4946.1000000000004</v>
      </c>
      <c r="L244" s="55"/>
      <c r="M244" s="55"/>
      <c r="N244" s="55"/>
      <c r="O244" s="70">
        <f>O245</f>
        <v>0</v>
      </c>
      <c r="P244" s="55">
        <f t="shared" ref="P244:Y245" si="191">P245</f>
        <v>5270.8</v>
      </c>
      <c r="Q244" s="70">
        <f t="shared" si="191"/>
        <v>0</v>
      </c>
      <c r="R244" s="70">
        <f t="shared" si="191"/>
        <v>0</v>
      </c>
      <c r="S244" s="70">
        <f t="shared" si="191"/>
        <v>0</v>
      </c>
      <c r="T244" s="76">
        <f t="shared" si="191"/>
        <v>0</v>
      </c>
      <c r="U244" s="55">
        <f t="shared" si="191"/>
        <v>0</v>
      </c>
      <c r="V244" s="55">
        <f t="shared" si="191"/>
        <v>0</v>
      </c>
      <c r="W244" s="55">
        <f t="shared" si="191"/>
        <v>0</v>
      </c>
      <c r="X244" s="55">
        <f t="shared" si="191"/>
        <v>5920.8</v>
      </c>
      <c r="Y244" s="106">
        <f t="shared" si="191"/>
        <v>5080</v>
      </c>
      <c r="Z244" s="46"/>
      <c r="AA244" s="81"/>
    </row>
    <row r="245" spans="1:27" ht="22.5" customHeight="1">
      <c r="A245" s="56"/>
      <c r="B245" s="57" t="s">
        <v>74</v>
      </c>
      <c r="C245" s="58">
        <v>905</v>
      </c>
      <c r="D245" s="83" t="s">
        <v>200</v>
      </c>
      <c r="E245" s="83" t="s">
        <v>193</v>
      </c>
      <c r="F245" s="58" t="s">
        <v>253</v>
      </c>
      <c r="G245" s="59"/>
      <c r="H245" s="55">
        <f t="shared" si="190"/>
        <v>0</v>
      </c>
      <c r="I245" s="55">
        <f t="shared" si="190"/>
        <v>5050.8</v>
      </c>
      <c r="J245" s="73">
        <f t="shared" si="190"/>
        <v>0</v>
      </c>
      <c r="K245" s="55">
        <f t="shared" si="190"/>
        <v>4946.1000000000004</v>
      </c>
      <c r="L245" s="55"/>
      <c r="M245" s="55"/>
      <c r="N245" s="55"/>
      <c r="O245" s="70">
        <f>O246</f>
        <v>0</v>
      </c>
      <c r="P245" s="55">
        <f t="shared" si="191"/>
        <v>5270.8</v>
      </c>
      <c r="Q245" s="70">
        <f t="shared" si="191"/>
        <v>0</v>
      </c>
      <c r="R245" s="70">
        <f t="shared" si="191"/>
        <v>0</v>
      </c>
      <c r="S245" s="70">
        <f t="shared" si="191"/>
        <v>0</v>
      </c>
      <c r="T245" s="76">
        <f t="shared" si="191"/>
        <v>0</v>
      </c>
      <c r="U245" s="55">
        <f t="shared" si="191"/>
        <v>0</v>
      </c>
      <c r="V245" s="55">
        <f t="shared" si="191"/>
        <v>0</v>
      </c>
      <c r="W245" s="55">
        <f t="shared" si="191"/>
        <v>0</v>
      </c>
      <c r="X245" s="55">
        <f t="shared" si="191"/>
        <v>5920.8</v>
      </c>
      <c r="Y245" s="106">
        <f t="shared" si="191"/>
        <v>5080</v>
      </c>
      <c r="Z245" s="46"/>
      <c r="AA245" s="81"/>
    </row>
    <row r="246" spans="1:27" ht="36.950000000000003" customHeight="1">
      <c r="A246" s="56"/>
      <c r="B246" s="57" t="s">
        <v>56</v>
      </c>
      <c r="C246" s="58">
        <v>905</v>
      </c>
      <c r="D246" s="83" t="s">
        <v>200</v>
      </c>
      <c r="E246" s="83" t="s">
        <v>193</v>
      </c>
      <c r="F246" s="58" t="s">
        <v>253</v>
      </c>
      <c r="G246" s="59">
        <v>600</v>
      </c>
      <c r="H246" s="55"/>
      <c r="I246" s="55">
        <v>5050.8</v>
      </c>
      <c r="J246" s="73"/>
      <c r="K246" s="70">
        <v>4946.1000000000004</v>
      </c>
      <c r="L246" s="70"/>
      <c r="M246" s="70"/>
      <c r="N246" s="70"/>
      <c r="O246" s="70"/>
      <c r="P246" s="55">
        <v>5270.8</v>
      </c>
      <c r="Q246" s="73"/>
      <c r="R246" s="73"/>
      <c r="S246" s="73"/>
      <c r="T246" s="77"/>
      <c r="U246" s="57"/>
      <c r="V246" s="57"/>
      <c r="W246" s="57"/>
      <c r="X246" s="57">
        <v>5920.8</v>
      </c>
      <c r="Y246" s="106">
        <v>5080</v>
      </c>
      <c r="Z246" s="46"/>
      <c r="AA246" s="81"/>
    </row>
    <row r="247" spans="1:27" ht="36.75" hidden="1" customHeight="1">
      <c r="A247" s="56"/>
      <c r="B247" s="57" t="s">
        <v>254</v>
      </c>
      <c r="C247" s="58">
        <v>905</v>
      </c>
      <c r="D247" s="83" t="s">
        <v>200</v>
      </c>
      <c r="E247" s="83" t="s">
        <v>193</v>
      </c>
      <c r="F247" s="58" t="s">
        <v>255</v>
      </c>
      <c r="G247" s="59"/>
      <c r="H247" s="55"/>
      <c r="I247" s="55"/>
      <c r="J247" s="73">
        <f>J248</f>
        <v>0</v>
      </c>
      <c r="K247" s="70">
        <f>K248</f>
        <v>0</v>
      </c>
      <c r="L247" s="70"/>
      <c r="M247" s="70"/>
      <c r="N247" s="70"/>
      <c r="O247" s="70">
        <f t="shared" ref="O247:T247" si="192">O248</f>
        <v>0</v>
      </c>
      <c r="P247" s="55">
        <f t="shared" si="192"/>
        <v>0</v>
      </c>
      <c r="Q247" s="70">
        <f t="shared" si="192"/>
        <v>0</v>
      </c>
      <c r="R247" s="70">
        <f t="shared" si="192"/>
        <v>0</v>
      </c>
      <c r="S247" s="70">
        <f t="shared" si="192"/>
        <v>0</v>
      </c>
      <c r="T247" s="76">
        <f t="shared" si="192"/>
        <v>0</v>
      </c>
      <c r="U247" s="57"/>
      <c r="V247" s="57"/>
      <c r="W247" s="57"/>
      <c r="X247" s="57"/>
      <c r="Y247" s="106">
        <f>Y248</f>
        <v>0</v>
      </c>
      <c r="Z247" s="46"/>
      <c r="AA247" s="81"/>
    </row>
    <row r="248" spans="1:27" ht="37.5" hidden="1">
      <c r="A248" s="56"/>
      <c r="B248" s="57" t="s">
        <v>56</v>
      </c>
      <c r="C248" s="58">
        <v>905</v>
      </c>
      <c r="D248" s="83" t="s">
        <v>200</v>
      </c>
      <c r="E248" s="83" t="s">
        <v>193</v>
      </c>
      <c r="F248" s="58" t="s">
        <v>255</v>
      </c>
      <c r="G248" s="59">
        <v>600</v>
      </c>
      <c r="H248" s="55"/>
      <c r="I248" s="55"/>
      <c r="J248" s="73"/>
      <c r="K248" s="70"/>
      <c r="L248" s="70"/>
      <c r="M248" s="70"/>
      <c r="N248" s="70"/>
      <c r="O248" s="70"/>
      <c r="P248" s="55">
        <v>0</v>
      </c>
      <c r="Q248" s="55">
        <v>0</v>
      </c>
      <c r="R248" s="73"/>
      <c r="S248" s="73"/>
      <c r="T248" s="77">
        <f>O248+P248+Q248+R248+S248</f>
        <v>0</v>
      </c>
      <c r="U248" s="57"/>
      <c r="V248" s="57"/>
      <c r="W248" s="57"/>
      <c r="X248" s="57"/>
      <c r="Y248" s="106">
        <v>0</v>
      </c>
      <c r="Z248" s="46"/>
      <c r="AA248" s="81"/>
    </row>
    <row r="249" spans="1:27" ht="24.75" customHeight="1">
      <c r="A249" s="56"/>
      <c r="B249" s="57" t="s">
        <v>256</v>
      </c>
      <c r="C249" s="58">
        <v>905</v>
      </c>
      <c r="D249" s="83" t="s">
        <v>200</v>
      </c>
      <c r="E249" s="83" t="s">
        <v>193</v>
      </c>
      <c r="F249" s="58" t="s">
        <v>257</v>
      </c>
      <c r="G249" s="59"/>
      <c r="H249" s="55">
        <f t="shared" ref="H249:K250" si="193">H250</f>
        <v>0</v>
      </c>
      <c r="I249" s="55">
        <f t="shared" si="193"/>
        <v>417</v>
      </c>
      <c r="J249" s="73">
        <f t="shared" si="193"/>
        <v>0</v>
      </c>
      <c r="K249" s="55">
        <f t="shared" si="193"/>
        <v>562.6</v>
      </c>
      <c r="L249" s="55"/>
      <c r="M249" s="55"/>
      <c r="N249" s="55"/>
      <c r="O249" s="70">
        <f>O250</f>
        <v>0</v>
      </c>
      <c r="P249" s="55">
        <f t="shared" ref="P249:Y250" si="194">P250</f>
        <v>578.5</v>
      </c>
      <c r="Q249" s="70">
        <f t="shared" si="194"/>
        <v>0</v>
      </c>
      <c r="R249" s="70">
        <f t="shared" si="194"/>
        <v>0</v>
      </c>
      <c r="S249" s="70">
        <f t="shared" si="194"/>
        <v>0</v>
      </c>
      <c r="T249" s="76">
        <f t="shared" si="194"/>
        <v>0</v>
      </c>
      <c r="U249" s="55">
        <f t="shared" si="194"/>
        <v>0</v>
      </c>
      <c r="V249" s="55">
        <f t="shared" si="194"/>
        <v>0</v>
      </c>
      <c r="W249" s="55">
        <f t="shared" si="194"/>
        <v>0</v>
      </c>
      <c r="X249" s="55">
        <f t="shared" si="194"/>
        <v>592</v>
      </c>
      <c r="Y249" s="106">
        <f t="shared" si="194"/>
        <v>779</v>
      </c>
      <c r="Z249" s="46"/>
      <c r="AA249" s="81"/>
    </row>
    <row r="250" spans="1:27" ht="60" customHeight="1">
      <c r="A250" s="56"/>
      <c r="B250" s="57" t="s">
        <v>258</v>
      </c>
      <c r="C250" s="58">
        <v>905</v>
      </c>
      <c r="D250" s="83" t="s">
        <v>200</v>
      </c>
      <c r="E250" s="83" t="s">
        <v>193</v>
      </c>
      <c r="F250" s="58" t="s">
        <v>259</v>
      </c>
      <c r="G250" s="59"/>
      <c r="H250" s="55">
        <f t="shared" si="193"/>
        <v>0</v>
      </c>
      <c r="I250" s="55">
        <f t="shared" si="193"/>
        <v>417</v>
      </c>
      <c r="J250" s="73">
        <f t="shared" si="193"/>
        <v>0</v>
      </c>
      <c r="K250" s="55">
        <f t="shared" si="193"/>
        <v>562.6</v>
      </c>
      <c r="L250" s="55"/>
      <c r="M250" s="55"/>
      <c r="N250" s="55"/>
      <c r="O250" s="70">
        <f>O251</f>
        <v>0</v>
      </c>
      <c r="P250" s="55">
        <f t="shared" si="194"/>
        <v>578.5</v>
      </c>
      <c r="Q250" s="70">
        <f t="shared" si="194"/>
        <v>0</v>
      </c>
      <c r="R250" s="70">
        <f t="shared" si="194"/>
        <v>0</v>
      </c>
      <c r="S250" s="70">
        <f t="shared" si="194"/>
        <v>0</v>
      </c>
      <c r="T250" s="76">
        <f t="shared" si="194"/>
        <v>0</v>
      </c>
      <c r="U250" s="55">
        <f t="shared" si="194"/>
        <v>0</v>
      </c>
      <c r="V250" s="55">
        <f t="shared" si="194"/>
        <v>0</v>
      </c>
      <c r="W250" s="55">
        <f t="shared" si="194"/>
        <v>0</v>
      </c>
      <c r="X250" s="55">
        <f t="shared" si="194"/>
        <v>592</v>
      </c>
      <c r="Y250" s="106">
        <f t="shared" si="194"/>
        <v>779</v>
      </c>
      <c r="Z250" s="46"/>
      <c r="AA250" s="81"/>
    </row>
    <row r="251" spans="1:27" ht="37.5">
      <c r="A251" s="56"/>
      <c r="B251" s="57" t="s">
        <v>56</v>
      </c>
      <c r="C251" s="58">
        <v>905</v>
      </c>
      <c r="D251" s="83" t="s">
        <v>200</v>
      </c>
      <c r="E251" s="83" t="s">
        <v>193</v>
      </c>
      <c r="F251" s="58" t="s">
        <v>259</v>
      </c>
      <c r="G251" s="59">
        <v>600</v>
      </c>
      <c r="H251" s="55">
        <v>0</v>
      </c>
      <c r="I251" s="55">
        <v>417</v>
      </c>
      <c r="J251" s="73"/>
      <c r="K251" s="70">
        <v>562.6</v>
      </c>
      <c r="L251" s="70"/>
      <c r="M251" s="70"/>
      <c r="N251" s="70"/>
      <c r="O251" s="70"/>
      <c r="P251" s="55">
        <v>578.5</v>
      </c>
      <c r="Q251" s="73"/>
      <c r="R251" s="73"/>
      <c r="S251" s="73">
        <v>0</v>
      </c>
      <c r="T251" s="77"/>
      <c r="U251" s="57"/>
      <c r="V251" s="57"/>
      <c r="W251" s="57"/>
      <c r="X251" s="80">
        <v>592</v>
      </c>
      <c r="Y251" s="106">
        <v>779</v>
      </c>
      <c r="Z251" s="46"/>
      <c r="AA251" s="81"/>
    </row>
    <row r="252" spans="1:27" ht="22.5" customHeight="1">
      <c r="A252" s="56"/>
      <c r="B252" s="57" t="s">
        <v>260</v>
      </c>
      <c r="C252" s="58">
        <v>905</v>
      </c>
      <c r="D252" s="83" t="s">
        <v>200</v>
      </c>
      <c r="E252" s="83" t="s">
        <v>193</v>
      </c>
      <c r="F252" s="58" t="s">
        <v>261</v>
      </c>
      <c r="G252" s="59"/>
      <c r="H252" s="55"/>
      <c r="I252" s="55"/>
      <c r="J252" s="73">
        <f>J253</f>
        <v>0</v>
      </c>
      <c r="K252" s="55">
        <f>K253</f>
        <v>16874</v>
      </c>
      <c r="L252" s="55"/>
      <c r="M252" s="55"/>
      <c r="N252" s="55"/>
      <c r="O252" s="70">
        <f>O253</f>
        <v>0</v>
      </c>
      <c r="P252" s="55">
        <f t="shared" ref="P252:Y253" si="195">P253</f>
        <v>15624</v>
      </c>
      <c r="Q252" s="70">
        <f t="shared" si="195"/>
        <v>0</v>
      </c>
      <c r="R252" s="70">
        <f t="shared" si="195"/>
        <v>0</v>
      </c>
      <c r="S252" s="70">
        <f t="shared" si="195"/>
        <v>0</v>
      </c>
      <c r="T252" s="76">
        <f t="shared" si="195"/>
        <v>0</v>
      </c>
      <c r="U252" s="55">
        <f t="shared" si="195"/>
        <v>0</v>
      </c>
      <c r="V252" s="55">
        <f t="shared" si="195"/>
        <v>0</v>
      </c>
      <c r="W252" s="55">
        <f t="shared" si="195"/>
        <v>0</v>
      </c>
      <c r="X252" s="55">
        <f t="shared" si="195"/>
        <v>16014.6</v>
      </c>
      <c r="Y252" s="106">
        <f t="shared" si="195"/>
        <v>27446.54</v>
      </c>
      <c r="Z252" s="46"/>
      <c r="AA252" s="81"/>
    </row>
    <row r="253" spans="1:27" ht="42" customHeight="1">
      <c r="A253" s="56"/>
      <c r="B253" s="57" t="s">
        <v>262</v>
      </c>
      <c r="C253" s="58">
        <v>905</v>
      </c>
      <c r="D253" s="83" t="s">
        <v>200</v>
      </c>
      <c r="E253" s="83" t="s">
        <v>193</v>
      </c>
      <c r="F253" s="58" t="s">
        <v>263</v>
      </c>
      <c r="G253" s="59"/>
      <c r="H253" s="55"/>
      <c r="I253" s="55"/>
      <c r="J253" s="73">
        <f>J254</f>
        <v>0</v>
      </c>
      <c r="K253" s="55">
        <f>K254</f>
        <v>16874</v>
      </c>
      <c r="L253" s="55"/>
      <c r="M253" s="55"/>
      <c r="N253" s="55"/>
      <c r="O253" s="70">
        <f>O254</f>
        <v>0</v>
      </c>
      <c r="P253" s="55">
        <f t="shared" si="195"/>
        <v>15624</v>
      </c>
      <c r="Q253" s="70">
        <f t="shared" si="195"/>
        <v>0</v>
      </c>
      <c r="R253" s="70">
        <f t="shared" si="195"/>
        <v>0</v>
      </c>
      <c r="S253" s="70">
        <f t="shared" si="195"/>
        <v>0</v>
      </c>
      <c r="T253" s="76">
        <f t="shared" si="195"/>
        <v>0</v>
      </c>
      <c r="U253" s="55">
        <f t="shared" si="195"/>
        <v>0</v>
      </c>
      <c r="V253" s="55">
        <f t="shared" si="195"/>
        <v>0</v>
      </c>
      <c r="W253" s="55">
        <f t="shared" si="195"/>
        <v>0</v>
      </c>
      <c r="X253" s="55">
        <f t="shared" si="195"/>
        <v>16014.6</v>
      </c>
      <c r="Y253" s="106">
        <f t="shared" si="195"/>
        <v>27446.54</v>
      </c>
      <c r="Z253" s="46"/>
      <c r="AA253" s="81"/>
    </row>
    <row r="254" spans="1:27" ht="37.5">
      <c r="A254" s="56"/>
      <c r="B254" s="57" t="s">
        <v>56</v>
      </c>
      <c r="C254" s="58">
        <v>905</v>
      </c>
      <c r="D254" s="83" t="s">
        <v>200</v>
      </c>
      <c r="E254" s="83" t="s">
        <v>193</v>
      </c>
      <c r="F254" s="58" t="s">
        <v>263</v>
      </c>
      <c r="G254" s="59">
        <v>600</v>
      </c>
      <c r="H254" s="55"/>
      <c r="I254" s="55"/>
      <c r="J254" s="73"/>
      <c r="K254" s="70">
        <v>16874</v>
      </c>
      <c r="L254" s="70"/>
      <c r="M254" s="70"/>
      <c r="N254" s="70"/>
      <c r="O254" s="70"/>
      <c r="P254" s="55">
        <v>15624</v>
      </c>
      <c r="Q254" s="73"/>
      <c r="R254" s="73"/>
      <c r="S254" s="73"/>
      <c r="T254" s="77"/>
      <c r="U254" s="57"/>
      <c r="V254" s="57"/>
      <c r="W254" s="57"/>
      <c r="X254" s="57">
        <v>16014.6</v>
      </c>
      <c r="Y254" s="106">
        <f>29646.54-2200</f>
        <v>27446.54</v>
      </c>
      <c r="Z254" s="46"/>
      <c r="AA254" s="81"/>
    </row>
    <row r="255" spans="1:27" ht="42" customHeight="1">
      <c r="A255" s="56"/>
      <c r="B255" s="57" t="s">
        <v>264</v>
      </c>
      <c r="C255" s="58">
        <v>905</v>
      </c>
      <c r="D255" s="83" t="s">
        <v>200</v>
      </c>
      <c r="E255" s="83" t="s">
        <v>193</v>
      </c>
      <c r="F255" s="58" t="s">
        <v>265</v>
      </c>
      <c r="G255" s="59"/>
      <c r="H255" s="55">
        <f t="shared" ref="H255:K256" si="196">H256</f>
        <v>0</v>
      </c>
      <c r="I255" s="55">
        <f t="shared" si="196"/>
        <v>169.7</v>
      </c>
      <c r="J255" s="73">
        <f t="shared" si="196"/>
        <v>0</v>
      </c>
      <c r="K255" s="55">
        <f t="shared" si="196"/>
        <v>16812.2</v>
      </c>
      <c r="L255" s="55"/>
      <c r="M255" s="55"/>
      <c r="N255" s="55"/>
      <c r="O255" s="70">
        <f>O256</f>
        <v>0</v>
      </c>
      <c r="P255" s="55">
        <f t="shared" ref="P255:Y256" si="197">P256</f>
        <v>20064.7</v>
      </c>
      <c r="Q255" s="70">
        <f t="shared" si="197"/>
        <v>0</v>
      </c>
      <c r="R255" s="70">
        <f t="shared" si="197"/>
        <v>0</v>
      </c>
      <c r="S255" s="70">
        <f t="shared" si="197"/>
        <v>0</v>
      </c>
      <c r="T255" s="76">
        <f t="shared" si="197"/>
        <v>11.03</v>
      </c>
      <c r="U255" s="55">
        <f t="shared" si="197"/>
        <v>0</v>
      </c>
      <c r="V255" s="55">
        <f t="shared" si="197"/>
        <v>0</v>
      </c>
      <c r="W255" s="55">
        <f t="shared" si="197"/>
        <v>0</v>
      </c>
      <c r="X255" s="55">
        <f t="shared" si="197"/>
        <v>20967.599999999999</v>
      </c>
      <c r="Y255" s="106">
        <f t="shared" si="197"/>
        <v>20978.635579999998</v>
      </c>
      <c r="Z255" s="46"/>
      <c r="AA255" s="81"/>
    </row>
    <row r="256" spans="1:27" ht="41.25" customHeight="1">
      <c r="A256" s="56"/>
      <c r="B256" s="57" t="s">
        <v>266</v>
      </c>
      <c r="C256" s="58">
        <v>905</v>
      </c>
      <c r="D256" s="83" t="s">
        <v>200</v>
      </c>
      <c r="E256" s="83" t="s">
        <v>193</v>
      </c>
      <c r="F256" s="58" t="s">
        <v>267</v>
      </c>
      <c r="G256" s="59"/>
      <c r="H256" s="55">
        <f t="shared" si="196"/>
        <v>0</v>
      </c>
      <c r="I256" s="55">
        <f t="shared" si="196"/>
        <v>169.7</v>
      </c>
      <c r="J256" s="73">
        <f t="shared" si="196"/>
        <v>0</v>
      </c>
      <c r="K256" s="55">
        <f t="shared" si="196"/>
        <v>16812.2</v>
      </c>
      <c r="L256" s="55"/>
      <c r="M256" s="55"/>
      <c r="N256" s="55"/>
      <c r="O256" s="70">
        <f>O257</f>
        <v>0</v>
      </c>
      <c r="P256" s="55">
        <f t="shared" si="197"/>
        <v>20064.7</v>
      </c>
      <c r="Q256" s="70">
        <f t="shared" si="197"/>
        <v>0</v>
      </c>
      <c r="R256" s="70">
        <f t="shared" si="197"/>
        <v>0</v>
      </c>
      <c r="S256" s="70">
        <f t="shared" si="197"/>
        <v>0</v>
      </c>
      <c r="T256" s="76">
        <f t="shared" si="197"/>
        <v>11.03</v>
      </c>
      <c r="U256" s="55">
        <f t="shared" si="197"/>
        <v>0</v>
      </c>
      <c r="V256" s="55">
        <f t="shared" si="197"/>
        <v>0</v>
      </c>
      <c r="W256" s="55">
        <f t="shared" si="197"/>
        <v>0</v>
      </c>
      <c r="X256" s="55">
        <f t="shared" si="197"/>
        <v>20967.599999999999</v>
      </c>
      <c r="Y256" s="106">
        <f t="shared" si="197"/>
        <v>20978.635579999998</v>
      </c>
      <c r="Z256" s="46"/>
      <c r="AA256" s="81"/>
    </row>
    <row r="257" spans="1:27" ht="37.5">
      <c r="A257" s="56"/>
      <c r="B257" s="57" t="s">
        <v>56</v>
      </c>
      <c r="C257" s="58">
        <v>905</v>
      </c>
      <c r="D257" s="83" t="s">
        <v>200</v>
      </c>
      <c r="E257" s="83" t="s">
        <v>193</v>
      </c>
      <c r="F257" s="58" t="s">
        <v>267</v>
      </c>
      <c r="G257" s="59">
        <v>600</v>
      </c>
      <c r="H257" s="55">
        <v>0</v>
      </c>
      <c r="I257" s="55">
        <v>169.7</v>
      </c>
      <c r="J257" s="73"/>
      <c r="K257" s="70">
        <v>16812.2</v>
      </c>
      <c r="L257" s="70"/>
      <c r="M257" s="70"/>
      <c r="N257" s="70"/>
      <c r="O257" s="70"/>
      <c r="P257" s="55">
        <v>20064.7</v>
      </c>
      <c r="Q257" s="55">
        <v>0</v>
      </c>
      <c r="R257" s="55">
        <v>0</v>
      </c>
      <c r="S257" s="55">
        <v>0</v>
      </c>
      <c r="T257" s="77">
        <v>11.03</v>
      </c>
      <c r="U257" s="55">
        <v>0</v>
      </c>
      <c r="V257" s="57"/>
      <c r="W257" s="57"/>
      <c r="X257" s="73">
        <v>20967.599999999999</v>
      </c>
      <c r="Y257" s="106">
        <v>20978.635579999998</v>
      </c>
      <c r="Z257" s="46"/>
      <c r="AA257" s="81"/>
    </row>
    <row r="258" spans="1:27" ht="37.5" hidden="1">
      <c r="A258" s="56"/>
      <c r="B258" s="102" t="s">
        <v>647</v>
      </c>
      <c r="C258" s="99">
        <v>905</v>
      </c>
      <c r="D258" s="100" t="s">
        <v>200</v>
      </c>
      <c r="E258" s="100" t="s">
        <v>193</v>
      </c>
      <c r="F258" s="99" t="s">
        <v>648</v>
      </c>
      <c r="G258" s="101"/>
      <c r="H258" s="55"/>
      <c r="I258" s="55"/>
      <c r="J258" s="73"/>
      <c r="K258" s="70"/>
      <c r="L258" s="70"/>
      <c r="M258" s="70"/>
      <c r="N258" s="70"/>
      <c r="O258" s="70"/>
      <c r="P258" s="55"/>
      <c r="Q258" s="55"/>
      <c r="R258" s="55"/>
      <c r="S258" s="55"/>
      <c r="T258" s="77"/>
      <c r="U258" s="86"/>
      <c r="V258" s="56"/>
      <c r="W258" s="56"/>
      <c r="X258" s="98"/>
      <c r="Y258" s="106">
        <f>Y259</f>
        <v>0</v>
      </c>
      <c r="Z258" s="46"/>
      <c r="AA258" s="81"/>
    </row>
    <row r="259" spans="1:27" hidden="1">
      <c r="A259" s="56"/>
      <c r="B259" s="102" t="s">
        <v>649</v>
      </c>
      <c r="C259" s="99">
        <v>905</v>
      </c>
      <c r="D259" s="100" t="s">
        <v>200</v>
      </c>
      <c r="E259" s="100" t="s">
        <v>193</v>
      </c>
      <c r="F259" s="99" t="s">
        <v>650</v>
      </c>
      <c r="G259" s="101"/>
      <c r="H259" s="55"/>
      <c r="I259" s="55"/>
      <c r="J259" s="73"/>
      <c r="K259" s="70"/>
      <c r="L259" s="70"/>
      <c r="M259" s="70"/>
      <c r="N259" s="70"/>
      <c r="O259" s="70"/>
      <c r="P259" s="55"/>
      <c r="Q259" s="55"/>
      <c r="R259" s="55"/>
      <c r="S259" s="55"/>
      <c r="T259" s="77"/>
      <c r="U259" s="86"/>
      <c r="V259" s="56"/>
      <c r="W259" s="56"/>
      <c r="X259" s="98"/>
      <c r="Y259" s="106">
        <f>Y260</f>
        <v>0</v>
      </c>
      <c r="Z259" s="46"/>
      <c r="AA259" s="81"/>
    </row>
    <row r="260" spans="1:27" ht="37.5" hidden="1">
      <c r="A260" s="56"/>
      <c r="B260" s="57" t="s">
        <v>56</v>
      </c>
      <c r="C260" s="58">
        <v>905</v>
      </c>
      <c r="D260" s="83" t="s">
        <v>200</v>
      </c>
      <c r="E260" s="83" t="s">
        <v>193</v>
      </c>
      <c r="F260" s="58" t="s">
        <v>650</v>
      </c>
      <c r="G260" s="59">
        <v>600</v>
      </c>
      <c r="H260" s="55"/>
      <c r="I260" s="55"/>
      <c r="J260" s="73"/>
      <c r="K260" s="70"/>
      <c r="L260" s="70"/>
      <c r="M260" s="70"/>
      <c r="N260" s="70"/>
      <c r="O260" s="70"/>
      <c r="P260" s="55"/>
      <c r="Q260" s="55"/>
      <c r="R260" s="55"/>
      <c r="S260" s="55"/>
      <c r="T260" s="77"/>
      <c r="U260" s="86"/>
      <c r="V260" s="56"/>
      <c r="W260" s="56"/>
      <c r="X260" s="98"/>
      <c r="Y260" s="106">
        <v>0</v>
      </c>
      <c r="Z260" s="46"/>
      <c r="AA260" s="81"/>
    </row>
    <row r="261" spans="1:27" ht="56.25">
      <c r="A261" s="56"/>
      <c r="B261" s="57" t="s">
        <v>652</v>
      </c>
      <c r="C261" s="58">
        <v>905</v>
      </c>
      <c r="D261" s="83" t="s">
        <v>200</v>
      </c>
      <c r="E261" s="83" t="s">
        <v>193</v>
      </c>
      <c r="F261" s="58" t="s">
        <v>653</v>
      </c>
      <c r="G261" s="59"/>
      <c r="H261" s="55"/>
      <c r="I261" s="55"/>
      <c r="J261" s="73"/>
      <c r="K261" s="70"/>
      <c r="L261" s="70"/>
      <c r="M261" s="70"/>
      <c r="N261" s="70"/>
      <c r="O261" s="70"/>
      <c r="P261" s="55"/>
      <c r="Q261" s="55"/>
      <c r="R261" s="55"/>
      <c r="S261" s="55"/>
      <c r="T261" s="77"/>
      <c r="U261" s="86"/>
      <c r="V261" s="56"/>
      <c r="W261" s="56"/>
      <c r="X261" s="98"/>
      <c r="Y261" s="106">
        <f>Y262</f>
        <v>260.39999999999998</v>
      </c>
      <c r="Z261" s="46"/>
      <c r="AA261" s="81"/>
    </row>
    <row r="262" spans="1:27" ht="37.5">
      <c r="A262" s="56"/>
      <c r="B262" s="57" t="s">
        <v>56</v>
      </c>
      <c r="C262" s="58">
        <v>905</v>
      </c>
      <c r="D262" s="83" t="s">
        <v>200</v>
      </c>
      <c r="E262" s="83" t="s">
        <v>193</v>
      </c>
      <c r="F262" s="58" t="s">
        <v>653</v>
      </c>
      <c r="G262" s="59">
        <v>600</v>
      </c>
      <c r="H262" s="55"/>
      <c r="I262" s="55"/>
      <c r="J262" s="73"/>
      <c r="K262" s="70"/>
      <c r="L262" s="70"/>
      <c r="M262" s="70"/>
      <c r="N262" s="70"/>
      <c r="O262" s="70"/>
      <c r="P262" s="55"/>
      <c r="Q262" s="55"/>
      <c r="R262" s="55"/>
      <c r="S262" s="55"/>
      <c r="T262" s="77"/>
      <c r="U262" s="86"/>
      <c r="V262" s="56"/>
      <c r="W262" s="56"/>
      <c r="X262" s="98"/>
      <c r="Y262" s="106">
        <v>260.39999999999998</v>
      </c>
      <c r="Z262" s="46"/>
      <c r="AA262" s="81"/>
    </row>
    <row r="263" spans="1:27" ht="22.5" customHeight="1">
      <c r="A263" s="56"/>
      <c r="B263" s="57" t="s">
        <v>268</v>
      </c>
      <c r="C263" s="58">
        <v>905</v>
      </c>
      <c r="D263" s="58" t="s">
        <v>200</v>
      </c>
      <c r="E263" s="58" t="s">
        <v>193</v>
      </c>
      <c r="F263" s="58" t="s">
        <v>269</v>
      </c>
      <c r="G263" s="59"/>
      <c r="H263" s="55"/>
      <c r="I263" s="55"/>
      <c r="J263" s="73"/>
      <c r="K263" s="70"/>
      <c r="L263" s="70"/>
      <c r="M263" s="70"/>
      <c r="N263" s="70"/>
      <c r="O263" s="70">
        <f>O264</f>
        <v>0</v>
      </c>
      <c r="P263" s="55">
        <f>P264</f>
        <v>497</v>
      </c>
      <c r="Q263" s="55"/>
      <c r="R263" s="55"/>
      <c r="S263" s="55"/>
      <c r="T263" s="77">
        <f>T264</f>
        <v>128.9</v>
      </c>
      <c r="U263" s="86">
        <f t="shared" ref="U263:Y263" si="198">U264</f>
        <v>0</v>
      </c>
      <c r="V263" s="86">
        <f t="shared" si="198"/>
        <v>0</v>
      </c>
      <c r="W263" s="86">
        <f t="shared" si="198"/>
        <v>0</v>
      </c>
      <c r="X263" s="86">
        <f t="shared" si="198"/>
        <v>2449.9</v>
      </c>
      <c r="Y263" s="106">
        <f t="shared" si="198"/>
        <v>2451.1895</v>
      </c>
      <c r="Z263" s="46"/>
      <c r="AA263" s="81"/>
    </row>
    <row r="264" spans="1:27" ht="58.5" customHeight="1">
      <c r="A264" s="56"/>
      <c r="B264" s="57" t="s">
        <v>270</v>
      </c>
      <c r="C264" s="58">
        <v>905</v>
      </c>
      <c r="D264" s="58" t="s">
        <v>200</v>
      </c>
      <c r="E264" s="58" t="s">
        <v>193</v>
      </c>
      <c r="F264" s="58" t="s">
        <v>271</v>
      </c>
      <c r="G264" s="59"/>
      <c r="H264" s="55"/>
      <c r="I264" s="55"/>
      <c r="J264" s="73"/>
      <c r="K264" s="70"/>
      <c r="L264" s="70"/>
      <c r="M264" s="70"/>
      <c r="N264" s="70"/>
      <c r="O264" s="70">
        <f>O265</f>
        <v>0</v>
      </c>
      <c r="P264" s="55">
        <f t="shared" ref="P264:Y264" si="199">P265</f>
        <v>497</v>
      </c>
      <c r="Q264" s="55">
        <f t="shared" si="199"/>
        <v>0</v>
      </c>
      <c r="R264" s="55">
        <f t="shared" si="199"/>
        <v>0</v>
      </c>
      <c r="S264" s="55">
        <f t="shared" si="199"/>
        <v>0</v>
      </c>
      <c r="T264" s="77">
        <f t="shared" si="199"/>
        <v>128.9</v>
      </c>
      <c r="U264" s="86">
        <f t="shared" si="199"/>
        <v>0</v>
      </c>
      <c r="V264" s="86">
        <f t="shared" si="199"/>
        <v>0</v>
      </c>
      <c r="W264" s="86">
        <f t="shared" si="199"/>
        <v>0</v>
      </c>
      <c r="X264" s="86">
        <f t="shared" si="199"/>
        <v>2449.9</v>
      </c>
      <c r="Y264" s="106">
        <f t="shared" si="199"/>
        <v>2451.1895</v>
      </c>
      <c r="Z264" s="46"/>
      <c r="AA264" s="81"/>
    </row>
    <row r="265" spans="1:27" ht="36" customHeight="1">
      <c r="A265" s="56"/>
      <c r="B265" s="57" t="s">
        <v>56</v>
      </c>
      <c r="C265" s="58">
        <v>905</v>
      </c>
      <c r="D265" s="58" t="s">
        <v>200</v>
      </c>
      <c r="E265" s="58" t="s">
        <v>193</v>
      </c>
      <c r="F265" s="58" t="s">
        <v>271</v>
      </c>
      <c r="G265" s="59">
        <v>600</v>
      </c>
      <c r="H265" s="55"/>
      <c r="I265" s="55"/>
      <c r="J265" s="73"/>
      <c r="K265" s="70"/>
      <c r="L265" s="70"/>
      <c r="M265" s="70"/>
      <c r="N265" s="70"/>
      <c r="O265" s="70">
        <v>0</v>
      </c>
      <c r="P265" s="55">
        <v>497</v>
      </c>
      <c r="Q265" s="55"/>
      <c r="R265" s="55"/>
      <c r="S265" s="55"/>
      <c r="T265" s="77">
        <v>128.9</v>
      </c>
      <c r="U265" s="57"/>
      <c r="V265" s="57"/>
      <c r="W265" s="57"/>
      <c r="X265" s="73">
        <v>2449.9</v>
      </c>
      <c r="Y265" s="106">
        <v>2451.1895</v>
      </c>
      <c r="Z265" s="46"/>
      <c r="AA265" s="81"/>
    </row>
    <row r="266" spans="1:27" ht="24.75" customHeight="1">
      <c r="A266" s="56"/>
      <c r="B266" s="57" t="s">
        <v>272</v>
      </c>
      <c r="C266" s="58">
        <v>905</v>
      </c>
      <c r="D266" s="58" t="s">
        <v>200</v>
      </c>
      <c r="E266" s="58" t="s">
        <v>193</v>
      </c>
      <c r="F266" s="58" t="s">
        <v>273</v>
      </c>
      <c r="G266" s="59"/>
      <c r="H266" s="55">
        <f t="shared" ref="H266:K267" si="200">H267</f>
        <v>173.9</v>
      </c>
      <c r="I266" s="55">
        <f t="shared" si="200"/>
        <v>3303.5</v>
      </c>
      <c r="J266" s="73">
        <f t="shared" si="200"/>
        <v>6</v>
      </c>
      <c r="K266" s="55">
        <f t="shared" si="200"/>
        <v>8888.9</v>
      </c>
      <c r="L266" s="55"/>
      <c r="M266" s="55"/>
      <c r="N266" s="55"/>
      <c r="O266" s="70">
        <f>O267</f>
        <v>0</v>
      </c>
      <c r="P266" s="55">
        <f t="shared" ref="P266:T267" si="201">P267</f>
        <v>0</v>
      </c>
      <c r="Q266" s="70">
        <f t="shared" si="201"/>
        <v>0</v>
      </c>
      <c r="R266" s="70">
        <f t="shared" si="201"/>
        <v>0</v>
      </c>
      <c r="S266" s="70">
        <f t="shared" si="201"/>
        <v>0</v>
      </c>
      <c r="T266" s="80">
        <f>T267+T269</f>
        <v>0.505</v>
      </c>
      <c r="U266" s="57"/>
      <c r="V266" s="57"/>
      <c r="W266" s="57"/>
      <c r="X266" s="80">
        <f>X267+X269</f>
        <v>1010</v>
      </c>
      <c r="Y266" s="106">
        <f>X267+Y269</f>
        <v>1010.5316</v>
      </c>
      <c r="Z266" s="46"/>
      <c r="AA266" s="81"/>
    </row>
    <row r="267" spans="1:27" ht="37.5" hidden="1">
      <c r="A267" s="56"/>
      <c r="B267" s="57" t="s">
        <v>274</v>
      </c>
      <c r="C267" s="58">
        <v>905</v>
      </c>
      <c r="D267" s="58" t="s">
        <v>200</v>
      </c>
      <c r="E267" s="58" t="s">
        <v>193</v>
      </c>
      <c r="F267" s="58" t="s">
        <v>275</v>
      </c>
      <c r="G267" s="59"/>
      <c r="H267" s="78">
        <f t="shared" si="200"/>
        <v>173.9</v>
      </c>
      <c r="I267" s="55">
        <f t="shared" si="200"/>
        <v>3303.5</v>
      </c>
      <c r="J267" s="73">
        <f t="shared" si="200"/>
        <v>6</v>
      </c>
      <c r="K267" s="55">
        <f t="shared" si="200"/>
        <v>8888.9</v>
      </c>
      <c r="L267" s="55"/>
      <c r="M267" s="55"/>
      <c r="N267" s="55"/>
      <c r="O267" s="70">
        <f>O268</f>
        <v>0</v>
      </c>
      <c r="P267" s="55">
        <f t="shared" si="201"/>
        <v>0</v>
      </c>
      <c r="Q267" s="70">
        <f t="shared" si="201"/>
        <v>0</v>
      </c>
      <c r="R267" s="70">
        <f t="shared" si="201"/>
        <v>0</v>
      </c>
      <c r="S267" s="70">
        <f t="shared" si="201"/>
        <v>0</v>
      </c>
      <c r="T267" s="76">
        <f t="shared" si="201"/>
        <v>0</v>
      </c>
      <c r="U267" s="57"/>
      <c r="V267" s="57"/>
      <c r="W267" s="57"/>
      <c r="X267" s="80"/>
      <c r="Y267" s="106">
        <f>Y268</f>
        <v>0</v>
      </c>
      <c r="Z267" s="46"/>
      <c r="AA267" s="81"/>
    </row>
    <row r="268" spans="1:27" ht="37.5" hidden="1">
      <c r="A268" s="56"/>
      <c r="B268" s="57" t="s">
        <v>56</v>
      </c>
      <c r="C268" s="58">
        <v>905</v>
      </c>
      <c r="D268" s="58" t="s">
        <v>200</v>
      </c>
      <c r="E268" s="58" t="s">
        <v>193</v>
      </c>
      <c r="F268" s="58" t="s">
        <v>275</v>
      </c>
      <c r="G268" s="59">
        <v>600</v>
      </c>
      <c r="H268" s="55">
        <v>173.9</v>
      </c>
      <c r="I268" s="55">
        <v>3303.5</v>
      </c>
      <c r="J268" s="73">
        <v>6</v>
      </c>
      <c r="K268" s="70">
        <v>8888.9</v>
      </c>
      <c r="L268" s="70"/>
      <c r="M268" s="70"/>
      <c r="N268" s="70"/>
      <c r="O268" s="70">
        <f>3.733-3.733</f>
        <v>0</v>
      </c>
      <c r="P268" s="55"/>
      <c r="Q268" s="55">
        <v>0</v>
      </c>
      <c r="R268" s="55">
        <v>0</v>
      </c>
      <c r="S268" s="55">
        <v>0</v>
      </c>
      <c r="T268" s="77">
        <f>O268+P268+Q268+R268+S268</f>
        <v>0</v>
      </c>
      <c r="U268" s="57"/>
      <c r="V268" s="57"/>
      <c r="W268" s="57"/>
      <c r="X268" s="80"/>
      <c r="Y268" s="106">
        <v>0</v>
      </c>
      <c r="Z268" s="46"/>
      <c r="AA268" s="81"/>
    </row>
    <row r="269" spans="1:27" ht="59.25" customHeight="1">
      <c r="A269" s="56"/>
      <c r="B269" s="57" t="s">
        <v>276</v>
      </c>
      <c r="C269" s="58">
        <v>905</v>
      </c>
      <c r="D269" s="58" t="s">
        <v>200</v>
      </c>
      <c r="E269" s="58" t="s">
        <v>193</v>
      </c>
      <c r="F269" s="58" t="s">
        <v>277</v>
      </c>
      <c r="G269" s="59"/>
      <c r="H269" s="55"/>
      <c r="I269" s="55"/>
      <c r="J269" s="73"/>
      <c r="K269" s="70"/>
      <c r="L269" s="70"/>
      <c r="M269" s="70"/>
      <c r="N269" s="70"/>
      <c r="O269" s="70"/>
      <c r="P269" s="55"/>
      <c r="Q269" s="55"/>
      <c r="R269" s="55"/>
      <c r="S269" s="55"/>
      <c r="T269" s="77">
        <f>T270</f>
        <v>0.505</v>
      </c>
      <c r="U269" s="57"/>
      <c r="V269" s="57"/>
      <c r="W269" s="57"/>
      <c r="X269" s="80">
        <f>X270</f>
        <v>1010</v>
      </c>
      <c r="Y269" s="106">
        <f>Y270</f>
        <v>1010.5316</v>
      </c>
      <c r="Z269" s="46"/>
      <c r="AA269" s="81"/>
    </row>
    <row r="270" spans="1:27" ht="37.5">
      <c r="A270" s="56"/>
      <c r="B270" s="57" t="s">
        <v>56</v>
      </c>
      <c r="C270" s="58">
        <v>905</v>
      </c>
      <c r="D270" s="58" t="s">
        <v>200</v>
      </c>
      <c r="E270" s="58" t="s">
        <v>193</v>
      </c>
      <c r="F270" s="58" t="s">
        <v>277</v>
      </c>
      <c r="G270" s="59">
        <v>600</v>
      </c>
      <c r="H270" s="55"/>
      <c r="I270" s="55"/>
      <c r="J270" s="73"/>
      <c r="K270" s="70"/>
      <c r="L270" s="70"/>
      <c r="M270" s="70"/>
      <c r="N270" s="70"/>
      <c r="O270" s="70"/>
      <c r="P270" s="55"/>
      <c r="Q270" s="55"/>
      <c r="R270" s="55"/>
      <c r="S270" s="55"/>
      <c r="T270" s="77">
        <v>0.505</v>
      </c>
      <c r="U270" s="57"/>
      <c r="V270" s="57"/>
      <c r="W270" s="57"/>
      <c r="X270" s="80">
        <v>1010</v>
      </c>
      <c r="Y270" s="106">
        <v>1010.5316</v>
      </c>
      <c r="Z270" s="46"/>
      <c r="AA270" s="81"/>
    </row>
    <row r="271" spans="1:27" ht="40.5" customHeight="1">
      <c r="A271" s="56"/>
      <c r="B271" s="62" t="s">
        <v>278</v>
      </c>
      <c r="C271" s="58">
        <v>905</v>
      </c>
      <c r="D271" s="83" t="s">
        <v>200</v>
      </c>
      <c r="E271" s="83" t="s">
        <v>193</v>
      </c>
      <c r="F271" s="58" t="s">
        <v>132</v>
      </c>
      <c r="G271" s="59"/>
      <c r="H271" s="55">
        <f t="shared" ref="H271:K272" si="202">H272</f>
        <v>371</v>
      </c>
      <c r="I271" s="55">
        <f t="shared" si="202"/>
        <v>0</v>
      </c>
      <c r="J271" s="73">
        <f t="shared" si="202"/>
        <v>946.4</v>
      </c>
      <c r="K271" s="55">
        <f t="shared" si="202"/>
        <v>0</v>
      </c>
      <c r="L271" s="55"/>
      <c r="M271" s="55"/>
      <c r="N271" s="55"/>
      <c r="O271" s="70">
        <f>O272</f>
        <v>1072.9000000000001</v>
      </c>
      <c r="P271" s="55">
        <f t="shared" ref="P271:Y272" si="203">P272</f>
        <v>0</v>
      </c>
      <c r="Q271" s="55">
        <f t="shared" si="203"/>
        <v>0</v>
      </c>
      <c r="R271" s="70">
        <f t="shared" si="203"/>
        <v>0</v>
      </c>
      <c r="S271" s="70">
        <f t="shared" si="203"/>
        <v>0</v>
      </c>
      <c r="T271" s="76">
        <f t="shared" si="203"/>
        <v>1106.3</v>
      </c>
      <c r="U271" s="55">
        <f t="shared" si="203"/>
        <v>0</v>
      </c>
      <c r="V271" s="55">
        <f t="shared" si="203"/>
        <v>0</v>
      </c>
      <c r="W271" s="55">
        <f t="shared" si="203"/>
        <v>0</v>
      </c>
      <c r="X271" s="55">
        <f t="shared" si="203"/>
        <v>0</v>
      </c>
      <c r="Y271" s="106">
        <f t="shared" si="203"/>
        <v>1451.086</v>
      </c>
      <c r="Z271" s="46"/>
      <c r="AA271" s="81"/>
    </row>
    <row r="272" spans="1:27" ht="37.5">
      <c r="A272" s="56"/>
      <c r="B272" s="57" t="s">
        <v>133</v>
      </c>
      <c r="C272" s="58">
        <v>905</v>
      </c>
      <c r="D272" s="83" t="s">
        <v>200</v>
      </c>
      <c r="E272" s="83" t="s">
        <v>193</v>
      </c>
      <c r="F272" s="58" t="s">
        <v>134</v>
      </c>
      <c r="G272" s="59"/>
      <c r="H272" s="55">
        <f t="shared" si="202"/>
        <v>371</v>
      </c>
      <c r="I272" s="55">
        <f t="shared" si="202"/>
        <v>0</v>
      </c>
      <c r="J272" s="73">
        <f t="shared" si="202"/>
        <v>946.4</v>
      </c>
      <c r="K272" s="55">
        <f t="shared" si="202"/>
        <v>0</v>
      </c>
      <c r="L272" s="55"/>
      <c r="M272" s="55"/>
      <c r="N272" s="55"/>
      <c r="O272" s="70">
        <f>O273</f>
        <v>1072.9000000000001</v>
      </c>
      <c r="P272" s="55">
        <f t="shared" si="203"/>
        <v>0</v>
      </c>
      <c r="Q272" s="55">
        <f t="shared" si="203"/>
        <v>0</v>
      </c>
      <c r="R272" s="70">
        <f t="shared" si="203"/>
        <v>0</v>
      </c>
      <c r="S272" s="70">
        <f t="shared" si="203"/>
        <v>0</v>
      </c>
      <c r="T272" s="76">
        <f t="shared" si="203"/>
        <v>1106.3</v>
      </c>
      <c r="U272" s="55">
        <f t="shared" si="203"/>
        <v>0</v>
      </c>
      <c r="V272" s="55">
        <f t="shared" si="203"/>
        <v>0</v>
      </c>
      <c r="W272" s="55">
        <f t="shared" si="203"/>
        <v>0</v>
      </c>
      <c r="X272" s="55">
        <f t="shared" si="203"/>
        <v>0</v>
      </c>
      <c r="Y272" s="106">
        <f t="shared" si="203"/>
        <v>1451.086</v>
      </c>
      <c r="Z272" s="46"/>
      <c r="AA272" s="81"/>
    </row>
    <row r="273" spans="1:27" ht="36" customHeight="1">
      <c r="A273" s="56"/>
      <c r="B273" s="57" t="s">
        <v>56</v>
      </c>
      <c r="C273" s="58">
        <v>905</v>
      </c>
      <c r="D273" s="83" t="s">
        <v>200</v>
      </c>
      <c r="E273" s="83" t="s">
        <v>193</v>
      </c>
      <c r="F273" s="58" t="s">
        <v>134</v>
      </c>
      <c r="G273" s="59">
        <v>600</v>
      </c>
      <c r="H273" s="55">
        <v>371</v>
      </c>
      <c r="I273" s="55">
        <v>0</v>
      </c>
      <c r="J273" s="73">
        <v>946.4</v>
      </c>
      <c r="K273" s="70"/>
      <c r="L273" s="70"/>
      <c r="M273" s="70"/>
      <c r="N273" s="70"/>
      <c r="O273" s="70">
        <v>1072.9000000000001</v>
      </c>
      <c r="P273" s="55">
        <v>0</v>
      </c>
      <c r="Q273" s="55">
        <v>0</v>
      </c>
      <c r="R273" s="55">
        <v>0</v>
      </c>
      <c r="S273" s="55">
        <v>0</v>
      </c>
      <c r="T273" s="77">
        <v>1106.3</v>
      </c>
      <c r="U273" s="57"/>
      <c r="V273" s="57"/>
      <c r="W273" s="57"/>
      <c r="X273" s="57"/>
      <c r="Y273" s="106">
        <v>1451.086</v>
      </c>
      <c r="Z273" s="46"/>
      <c r="AA273" s="81"/>
    </row>
    <row r="274" spans="1:27" ht="0.75" customHeight="1">
      <c r="A274" s="56"/>
      <c r="B274" s="57" t="s">
        <v>279</v>
      </c>
      <c r="C274" s="58">
        <v>905</v>
      </c>
      <c r="D274" s="83" t="s">
        <v>200</v>
      </c>
      <c r="E274" s="83" t="s">
        <v>193</v>
      </c>
      <c r="F274" s="58" t="s">
        <v>280</v>
      </c>
      <c r="G274" s="59"/>
      <c r="H274" s="55" t="e">
        <f>#REF!</f>
        <v>#REF!</v>
      </c>
      <c r="I274" s="55" t="e">
        <f>#REF!</f>
        <v>#REF!</v>
      </c>
      <c r="J274" s="73" t="e">
        <f>#REF!</f>
        <v>#REF!</v>
      </c>
      <c r="K274" s="55" t="e">
        <f>#REF!</f>
        <v>#REF!</v>
      </c>
      <c r="L274" s="55"/>
      <c r="M274" s="55"/>
      <c r="N274" s="55"/>
      <c r="O274" s="70" t="e">
        <f>#REF!</f>
        <v>#REF!</v>
      </c>
      <c r="P274" s="55" t="e">
        <f>#REF!</f>
        <v>#REF!</v>
      </c>
      <c r="Q274" s="70" t="e">
        <f>#REF!</f>
        <v>#REF!</v>
      </c>
      <c r="R274" s="70" t="e">
        <f>#REF!</f>
        <v>#REF!</v>
      </c>
      <c r="S274" s="70" t="e">
        <f>#REF!</f>
        <v>#REF!</v>
      </c>
      <c r="T274" s="76" t="e">
        <f>#REF!</f>
        <v>#REF!</v>
      </c>
      <c r="U274" s="57"/>
      <c r="V274" s="57"/>
      <c r="W274" s="57"/>
      <c r="X274" s="57"/>
      <c r="Y274" s="106"/>
      <c r="Z274" s="46"/>
      <c r="AA274" s="81"/>
    </row>
    <row r="275" spans="1:27" ht="36" customHeight="1">
      <c r="A275" s="56"/>
      <c r="B275" s="57" t="s">
        <v>281</v>
      </c>
      <c r="C275" s="58">
        <v>905</v>
      </c>
      <c r="D275" s="83" t="s">
        <v>200</v>
      </c>
      <c r="E275" s="83" t="s">
        <v>193</v>
      </c>
      <c r="F275" s="58" t="s">
        <v>136</v>
      </c>
      <c r="G275" s="59"/>
      <c r="H275" s="55">
        <f t="shared" ref="H275:K276" si="204">H276</f>
        <v>546</v>
      </c>
      <c r="I275" s="55">
        <f t="shared" si="204"/>
        <v>0</v>
      </c>
      <c r="J275" s="73">
        <f t="shared" si="204"/>
        <v>296</v>
      </c>
      <c r="K275" s="55">
        <f t="shared" si="204"/>
        <v>0</v>
      </c>
      <c r="L275" s="55"/>
      <c r="M275" s="55"/>
      <c r="N275" s="55"/>
      <c r="O275" s="70">
        <f>O276</f>
        <v>0</v>
      </c>
      <c r="P275" s="55">
        <f t="shared" ref="P275:T276" si="205">P276</f>
        <v>0</v>
      </c>
      <c r="Q275" s="70">
        <f t="shared" si="205"/>
        <v>0</v>
      </c>
      <c r="R275" s="70">
        <f t="shared" si="205"/>
        <v>0</v>
      </c>
      <c r="S275" s="70">
        <f t="shared" si="205"/>
        <v>0</v>
      </c>
      <c r="T275" s="76">
        <f t="shared" si="205"/>
        <v>588.70000000000005</v>
      </c>
      <c r="U275" s="70">
        <f>U276</f>
        <v>0</v>
      </c>
      <c r="V275" s="57"/>
      <c r="W275" s="57"/>
      <c r="X275" s="57"/>
      <c r="Y275" s="106">
        <f>T275+U275+V275+W275+X275</f>
        <v>588.70000000000005</v>
      </c>
      <c r="Z275" s="46"/>
      <c r="AA275" s="81"/>
    </row>
    <row r="276" spans="1:27" ht="37.5">
      <c r="A276" s="56"/>
      <c r="B276" s="57" t="s">
        <v>224</v>
      </c>
      <c r="C276" s="58">
        <v>905</v>
      </c>
      <c r="D276" s="83" t="s">
        <v>200</v>
      </c>
      <c r="E276" s="83" t="s">
        <v>193</v>
      </c>
      <c r="F276" s="58" t="s">
        <v>225</v>
      </c>
      <c r="G276" s="59"/>
      <c r="H276" s="55">
        <f t="shared" si="204"/>
        <v>546</v>
      </c>
      <c r="I276" s="55">
        <f t="shared" si="204"/>
        <v>0</v>
      </c>
      <c r="J276" s="73">
        <f t="shared" si="204"/>
        <v>296</v>
      </c>
      <c r="K276" s="55">
        <f t="shared" si="204"/>
        <v>0</v>
      </c>
      <c r="L276" s="55"/>
      <c r="M276" s="55"/>
      <c r="N276" s="55"/>
      <c r="O276" s="70">
        <f>O277</f>
        <v>0</v>
      </c>
      <c r="P276" s="55">
        <f t="shared" si="205"/>
        <v>0</v>
      </c>
      <c r="Q276" s="70">
        <f t="shared" si="205"/>
        <v>0</v>
      </c>
      <c r="R276" s="70">
        <f t="shared" si="205"/>
        <v>0</v>
      </c>
      <c r="S276" s="70">
        <f t="shared" si="205"/>
        <v>0</v>
      </c>
      <c r="T276" s="76">
        <f t="shared" si="205"/>
        <v>588.70000000000005</v>
      </c>
      <c r="U276" s="70">
        <f>U277</f>
        <v>0</v>
      </c>
      <c r="V276" s="57"/>
      <c r="W276" s="57"/>
      <c r="X276" s="57"/>
      <c r="Y276" s="106">
        <f>T276+U276+V276+W276+X276</f>
        <v>588.70000000000005</v>
      </c>
      <c r="Z276" s="46"/>
      <c r="AA276" s="81"/>
    </row>
    <row r="277" spans="1:27" ht="37.5">
      <c r="A277" s="56"/>
      <c r="B277" s="57" t="s">
        <v>56</v>
      </c>
      <c r="C277" s="58">
        <v>905</v>
      </c>
      <c r="D277" s="83" t="s">
        <v>200</v>
      </c>
      <c r="E277" s="83" t="s">
        <v>193</v>
      </c>
      <c r="F277" s="58" t="s">
        <v>225</v>
      </c>
      <c r="G277" s="59">
        <v>600</v>
      </c>
      <c r="H277" s="55">
        <v>546</v>
      </c>
      <c r="I277" s="55"/>
      <c r="J277" s="73">
        <v>296</v>
      </c>
      <c r="K277" s="70"/>
      <c r="L277" s="70"/>
      <c r="M277" s="70"/>
      <c r="N277" s="70"/>
      <c r="O277" s="70"/>
      <c r="P277" s="55"/>
      <c r="Q277" s="73"/>
      <c r="R277" s="73"/>
      <c r="S277" s="73"/>
      <c r="T277" s="77">
        <v>588.70000000000005</v>
      </c>
      <c r="U277" s="70"/>
      <c r="V277" s="87"/>
      <c r="W277" s="87"/>
      <c r="X277" s="87"/>
      <c r="Y277" s="106">
        <f>T277+U277+V277+W277+X277</f>
        <v>588.70000000000005</v>
      </c>
      <c r="Z277" s="46"/>
      <c r="AA277" s="81"/>
    </row>
    <row r="278" spans="1:27" ht="56.25" hidden="1">
      <c r="A278" s="56"/>
      <c r="B278" s="57" t="s">
        <v>282</v>
      </c>
      <c r="C278" s="58">
        <v>905</v>
      </c>
      <c r="D278" s="83" t="s">
        <v>200</v>
      </c>
      <c r="E278" s="83" t="s">
        <v>193</v>
      </c>
      <c r="F278" s="58" t="s">
        <v>283</v>
      </c>
      <c r="G278" s="59"/>
      <c r="H278" s="55">
        <f t="shared" ref="H278:K279" si="206">H279</f>
        <v>5</v>
      </c>
      <c r="I278" s="55">
        <f t="shared" si="206"/>
        <v>0</v>
      </c>
      <c r="J278" s="73">
        <f t="shared" si="206"/>
        <v>5</v>
      </c>
      <c r="K278" s="55">
        <f t="shared" si="206"/>
        <v>0</v>
      </c>
      <c r="L278" s="55"/>
      <c r="M278" s="55"/>
      <c r="N278" s="55"/>
      <c r="O278" s="70">
        <f>O279</f>
        <v>5</v>
      </c>
      <c r="P278" s="55">
        <f t="shared" ref="P278:Y279" si="207">P279</f>
        <v>0</v>
      </c>
      <c r="Q278" s="70">
        <f t="shared" si="207"/>
        <v>0</v>
      </c>
      <c r="R278" s="70">
        <f t="shared" si="207"/>
        <v>0</v>
      </c>
      <c r="S278" s="70">
        <f t="shared" si="207"/>
        <v>0</v>
      </c>
      <c r="T278" s="76">
        <f t="shared" si="207"/>
        <v>5</v>
      </c>
      <c r="U278" s="55">
        <f t="shared" si="207"/>
        <v>0</v>
      </c>
      <c r="V278" s="55">
        <f t="shared" si="207"/>
        <v>0</v>
      </c>
      <c r="W278" s="55">
        <f t="shared" si="207"/>
        <v>0</v>
      </c>
      <c r="X278" s="55">
        <f t="shared" si="207"/>
        <v>0</v>
      </c>
      <c r="Y278" s="106">
        <f t="shared" si="207"/>
        <v>0</v>
      </c>
      <c r="Z278" s="46"/>
      <c r="AA278" s="81"/>
    </row>
    <row r="279" spans="1:27" hidden="1">
      <c r="A279" s="56"/>
      <c r="B279" s="57" t="s">
        <v>284</v>
      </c>
      <c r="C279" s="58">
        <v>905</v>
      </c>
      <c r="D279" s="83" t="s">
        <v>200</v>
      </c>
      <c r="E279" s="83" t="s">
        <v>193</v>
      </c>
      <c r="F279" s="58" t="s">
        <v>285</v>
      </c>
      <c r="G279" s="59"/>
      <c r="H279" s="55">
        <f t="shared" si="206"/>
        <v>5</v>
      </c>
      <c r="I279" s="55">
        <f t="shared" si="206"/>
        <v>0</v>
      </c>
      <c r="J279" s="73">
        <f t="shared" si="206"/>
        <v>5</v>
      </c>
      <c r="K279" s="55">
        <f t="shared" si="206"/>
        <v>0</v>
      </c>
      <c r="L279" s="55"/>
      <c r="M279" s="55"/>
      <c r="N279" s="55"/>
      <c r="O279" s="70">
        <f>O280</f>
        <v>5</v>
      </c>
      <c r="P279" s="55">
        <f t="shared" si="207"/>
        <v>0</v>
      </c>
      <c r="Q279" s="70">
        <f t="shared" si="207"/>
        <v>0</v>
      </c>
      <c r="R279" s="70">
        <f t="shared" si="207"/>
        <v>0</v>
      </c>
      <c r="S279" s="70">
        <f t="shared" si="207"/>
        <v>0</v>
      </c>
      <c r="T279" s="76">
        <f t="shared" si="207"/>
        <v>5</v>
      </c>
      <c r="U279" s="55">
        <f t="shared" si="207"/>
        <v>0</v>
      </c>
      <c r="V279" s="55">
        <f t="shared" si="207"/>
        <v>0</v>
      </c>
      <c r="W279" s="55">
        <f t="shared" si="207"/>
        <v>0</v>
      </c>
      <c r="X279" s="55">
        <f t="shared" si="207"/>
        <v>0</v>
      </c>
      <c r="Y279" s="106">
        <f t="shared" si="207"/>
        <v>0</v>
      </c>
      <c r="Z279" s="46"/>
      <c r="AA279" s="81"/>
    </row>
    <row r="280" spans="1:27" ht="39.75" hidden="1" customHeight="1">
      <c r="A280" s="56"/>
      <c r="B280" s="57" t="s">
        <v>56</v>
      </c>
      <c r="C280" s="58">
        <v>905</v>
      </c>
      <c r="D280" s="83" t="s">
        <v>200</v>
      </c>
      <c r="E280" s="83" t="s">
        <v>193</v>
      </c>
      <c r="F280" s="58" t="s">
        <v>285</v>
      </c>
      <c r="G280" s="59">
        <v>600</v>
      </c>
      <c r="H280" s="55">
        <v>5</v>
      </c>
      <c r="I280" s="55"/>
      <c r="J280" s="73">
        <v>5</v>
      </c>
      <c r="K280" s="70"/>
      <c r="L280" s="70"/>
      <c r="M280" s="70"/>
      <c r="N280" s="70"/>
      <c r="O280" s="70">
        <v>5</v>
      </c>
      <c r="P280" s="55"/>
      <c r="Q280" s="73"/>
      <c r="R280" s="73"/>
      <c r="S280" s="73"/>
      <c r="T280" s="77">
        <v>5</v>
      </c>
      <c r="U280" s="57"/>
      <c r="V280" s="57"/>
      <c r="W280" s="57"/>
      <c r="X280" s="57"/>
      <c r="Y280" s="106">
        <v>0</v>
      </c>
      <c r="Z280" s="46"/>
      <c r="AA280" s="81"/>
    </row>
    <row r="281" spans="1:27">
      <c r="A281" s="56"/>
      <c r="B281" s="57" t="s">
        <v>286</v>
      </c>
      <c r="C281" s="58">
        <v>905</v>
      </c>
      <c r="D281" s="58" t="s">
        <v>200</v>
      </c>
      <c r="E281" s="83" t="s">
        <v>25</v>
      </c>
      <c r="F281" s="58"/>
      <c r="G281" s="59"/>
      <c r="H281" s="55">
        <f t="shared" ref="H281:K282" si="208">H282</f>
        <v>21227</v>
      </c>
      <c r="I281" s="55">
        <f t="shared" si="208"/>
        <v>2035.6</v>
      </c>
      <c r="J281" s="73">
        <f t="shared" si="208"/>
        <v>27650.899999999998</v>
      </c>
      <c r="K281" s="55">
        <f t="shared" si="208"/>
        <v>1551</v>
      </c>
      <c r="L281" s="55"/>
      <c r="M281" s="55"/>
      <c r="N281" s="55"/>
      <c r="O281" s="70">
        <f t="shared" ref="O281:T281" si="209">O282+O311</f>
        <v>30685.7</v>
      </c>
      <c r="P281" s="55">
        <f t="shared" si="209"/>
        <v>470</v>
      </c>
      <c r="Q281" s="70">
        <f t="shared" si="209"/>
        <v>0</v>
      </c>
      <c r="R281" s="70">
        <f t="shared" si="209"/>
        <v>0</v>
      </c>
      <c r="S281" s="70">
        <f t="shared" si="209"/>
        <v>0</v>
      </c>
      <c r="T281" s="76">
        <f t="shared" si="209"/>
        <v>36117.200000000004</v>
      </c>
      <c r="U281" s="55">
        <f t="shared" ref="U281:Y281" si="210">U282+U311</f>
        <v>0</v>
      </c>
      <c r="V281" s="55">
        <f t="shared" si="210"/>
        <v>0</v>
      </c>
      <c r="W281" s="55">
        <f t="shared" si="210"/>
        <v>0</v>
      </c>
      <c r="X281" s="55">
        <f t="shared" si="210"/>
        <v>570</v>
      </c>
      <c r="Y281" s="106">
        <f t="shared" si="210"/>
        <v>33247.241999999998</v>
      </c>
      <c r="Z281" s="46"/>
      <c r="AA281" s="81"/>
    </row>
    <row r="282" spans="1:27" ht="37.5">
      <c r="A282" s="56"/>
      <c r="B282" s="62" t="s">
        <v>202</v>
      </c>
      <c r="C282" s="58">
        <v>905</v>
      </c>
      <c r="D282" s="58" t="s">
        <v>200</v>
      </c>
      <c r="E282" s="83" t="s">
        <v>25</v>
      </c>
      <c r="F282" s="58" t="s">
        <v>203</v>
      </c>
      <c r="G282" s="59"/>
      <c r="H282" s="55">
        <f t="shared" si="208"/>
        <v>21227</v>
      </c>
      <c r="I282" s="55">
        <f t="shared" si="208"/>
        <v>2035.6</v>
      </c>
      <c r="J282" s="73">
        <f t="shared" si="208"/>
        <v>27650.899999999998</v>
      </c>
      <c r="K282" s="55">
        <f t="shared" si="208"/>
        <v>1551</v>
      </c>
      <c r="L282" s="55"/>
      <c r="M282" s="55"/>
      <c r="N282" s="55"/>
      <c r="O282" s="70">
        <f>O283</f>
        <v>30600.2</v>
      </c>
      <c r="P282" s="55">
        <f t="shared" ref="P282:Y282" si="211">P283</f>
        <v>470</v>
      </c>
      <c r="Q282" s="70">
        <f t="shared" si="211"/>
        <v>0</v>
      </c>
      <c r="R282" s="70">
        <f t="shared" si="211"/>
        <v>0</v>
      </c>
      <c r="S282" s="70">
        <f t="shared" si="211"/>
        <v>0</v>
      </c>
      <c r="T282" s="76">
        <f t="shared" si="211"/>
        <v>36014.400000000001</v>
      </c>
      <c r="U282" s="55">
        <f t="shared" si="211"/>
        <v>0</v>
      </c>
      <c r="V282" s="55">
        <f t="shared" si="211"/>
        <v>0</v>
      </c>
      <c r="W282" s="55">
        <f t="shared" si="211"/>
        <v>0</v>
      </c>
      <c r="X282" s="55">
        <f t="shared" si="211"/>
        <v>570</v>
      </c>
      <c r="Y282" s="106">
        <f t="shared" si="211"/>
        <v>33144.441999999995</v>
      </c>
      <c r="Z282" s="46"/>
      <c r="AA282" s="81"/>
    </row>
    <row r="283" spans="1:27">
      <c r="A283" s="56"/>
      <c r="B283" s="62" t="s">
        <v>287</v>
      </c>
      <c r="C283" s="58">
        <v>905</v>
      </c>
      <c r="D283" s="58" t="s">
        <v>200</v>
      </c>
      <c r="E283" s="83" t="s">
        <v>25</v>
      </c>
      <c r="F283" s="58" t="s">
        <v>288</v>
      </c>
      <c r="G283" s="59"/>
      <c r="H283" s="55">
        <f>H284+H286+H294+H306</f>
        <v>21227</v>
      </c>
      <c r="I283" s="55">
        <f>I284+I286+I294+I306</f>
        <v>2035.6</v>
      </c>
      <c r="J283" s="73">
        <f>J284+J286+J294+J306+J308</f>
        <v>27650.899999999998</v>
      </c>
      <c r="K283" s="55">
        <f>K284+K286+K294+K305+K308</f>
        <v>1551</v>
      </c>
      <c r="L283" s="55"/>
      <c r="M283" s="55"/>
      <c r="N283" s="55"/>
      <c r="O283" s="70">
        <f t="shared" ref="O283:T283" si="212">O284+O286+O294+O306+O308</f>
        <v>30600.2</v>
      </c>
      <c r="P283" s="55">
        <f t="shared" si="212"/>
        <v>470</v>
      </c>
      <c r="Q283" s="70">
        <f t="shared" si="212"/>
        <v>0</v>
      </c>
      <c r="R283" s="70">
        <f t="shared" si="212"/>
        <v>0</v>
      </c>
      <c r="S283" s="70">
        <f t="shared" si="212"/>
        <v>0</v>
      </c>
      <c r="T283" s="76">
        <f t="shared" si="212"/>
        <v>36014.400000000001</v>
      </c>
      <c r="U283" s="55">
        <f t="shared" ref="U283:Y283" si="213">U284+U286+U294+U306+U308</f>
        <v>0</v>
      </c>
      <c r="V283" s="55">
        <f t="shared" si="213"/>
        <v>0</v>
      </c>
      <c r="W283" s="55">
        <f t="shared" si="213"/>
        <v>0</v>
      </c>
      <c r="X283" s="55">
        <f t="shared" si="213"/>
        <v>570</v>
      </c>
      <c r="Y283" s="106">
        <f t="shared" si="213"/>
        <v>33144.441999999995</v>
      </c>
      <c r="Z283" s="46"/>
      <c r="AA283" s="81"/>
    </row>
    <row r="284" spans="1:27" ht="37.5">
      <c r="A284" s="56"/>
      <c r="B284" s="62" t="s">
        <v>289</v>
      </c>
      <c r="C284" s="58">
        <v>905</v>
      </c>
      <c r="D284" s="58" t="s">
        <v>200</v>
      </c>
      <c r="E284" s="83" t="s">
        <v>25</v>
      </c>
      <c r="F284" s="58" t="s">
        <v>290</v>
      </c>
      <c r="G284" s="59"/>
      <c r="H284" s="55">
        <f>H285</f>
        <v>52</v>
      </c>
      <c r="I284" s="55">
        <f>I285</f>
        <v>0</v>
      </c>
      <c r="J284" s="73">
        <f>J285</f>
        <v>213.7</v>
      </c>
      <c r="K284" s="55">
        <f>K285</f>
        <v>0</v>
      </c>
      <c r="L284" s="55"/>
      <c r="M284" s="55"/>
      <c r="N284" s="55"/>
      <c r="O284" s="70">
        <f t="shared" ref="O284:Y284" si="214">O285</f>
        <v>102</v>
      </c>
      <c r="P284" s="55">
        <f t="shared" si="214"/>
        <v>0</v>
      </c>
      <c r="Q284" s="70">
        <f t="shared" si="214"/>
        <v>0</v>
      </c>
      <c r="R284" s="70">
        <f t="shared" si="214"/>
        <v>0</v>
      </c>
      <c r="S284" s="70">
        <f t="shared" si="214"/>
        <v>0</v>
      </c>
      <c r="T284" s="76">
        <f t="shared" si="214"/>
        <v>112</v>
      </c>
      <c r="U284" s="55">
        <f t="shared" si="214"/>
        <v>0</v>
      </c>
      <c r="V284" s="55">
        <f t="shared" si="214"/>
        <v>0</v>
      </c>
      <c r="W284" s="55">
        <f t="shared" si="214"/>
        <v>0</v>
      </c>
      <c r="X284" s="55">
        <f t="shared" si="214"/>
        <v>0</v>
      </c>
      <c r="Y284" s="106">
        <f t="shared" si="214"/>
        <v>281.22000000000003</v>
      </c>
      <c r="Z284" s="46"/>
      <c r="AA284" s="81"/>
    </row>
    <row r="285" spans="1:27" ht="37.5">
      <c r="A285" s="56"/>
      <c r="B285" s="57" t="s">
        <v>56</v>
      </c>
      <c r="C285" s="58">
        <v>905</v>
      </c>
      <c r="D285" s="58" t="s">
        <v>200</v>
      </c>
      <c r="E285" s="83" t="s">
        <v>25</v>
      </c>
      <c r="F285" s="58" t="s">
        <v>290</v>
      </c>
      <c r="G285" s="59">
        <v>600</v>
      </c>
      <c r="H285" s="55">
        <v>52</v>
      </c>
      <c r="I285" s="55"/>
      <c r="J285" s="73">
        <v>213.7</v>
      </c>
      <c r="K285" s="70">
        <v>0</v>
      </c>
      <c r="L285" s="70"/>
      <c r="M285" s="70"/>
      <c r="N285" s="70"/>
      <c r="O285" s="70">
        <v>102</v>
      </c>
      <c r="P285" s="55"/>
      <c r="Q285" s="73"/>
      <c r="R285" s="73"/>
      <c r="S285" s="73"/>
      <c r="T285" s="77">
        <v>112</v>
      </c>
      <c r="U285" s="57"/>
      <c r="V285" s="57"/>
      <c r="W285" s="57"/>
      <c r="X285" s="57"/>
      <c r="Y285" s="106">
        <v>281.22000000000003</v>
      </c>
      <c r="Z285" s="46"/>
      <c r="AA285" s="81"/>
    </row>
    <row r="286" spans="1:27" ht="24.75" customHeight="1">
      <c r="A286" s="56"/>
      <c r="B286" s="57" t="s">
        <v>63</v>
      </c>
      <c r="C286" s="58">
        <v>905</v>
      </c>
      <c r="D286" s="58" t="s">
        <v>200</v>
      </c>
      <c r="E286" s="83" t="s">
        <v>25</v>
      </c>
      <c r="F286" s="58" t="s">
        <v>291</v>
      </c>
      <c r="G286" s="59"/>
      <c r="H286" s="55">
        <f>H287+H289+H291</f>
        <v>20765.2</v>
      </c>
      <c r="I286" s="55">
        <f>I287+I289+I291</f>
        <v>1685.6</v>
      </c>
      <c r="J286" s="73">
        <f>J287+J289+J291</f>
        <v>25117.199999999997</v>
      </c>
      <c r="K286" s="55">
        <f>K287+K289+K291</f>
        <v>1191.9000000000001</v>
      </c>
      <c r="L286" s="55"/>
      <c r="M286" s="55"/>
      <c r="N286" s="55"/>
      <c r="O286" s="70">
        <f t="shared" ref="O286:T286" si="215">O287+O289+O291</f>
        <v>30036.799999999999</v>
      </c>
      <c r="P286" s="55">
        <f t="shared" si="215"/>
        <v>0</v>
      </c>
      <c r="Q286" s="70">
        <f t="shared" si="215"/>
        <v>0</v>
      </c>
      <c r="R286" s="70">
        <f t="shared" si="215"/>
        <v>0</v>
      </c>
      <c r="S286" s="70">
        <f t="shared" si="215"/>
        <v>0</v>
      </c>
      <c r="T286" s="76">
        <f t="shared" si="215"/>
        <v>34536.6</v>
      </c>
      <c r="U286" s="55">
        <f t="shared" ref="U286:Y286" si="216">U287+U289+U291</f>
        <v>0</v>
      </c>
      <c r="V286" s="55">
        <f t="shared" si="216"/>
        <v>0</v>
      </c>
      <c r="W286" s="55">
        <f t="shared" si="216"/>
        <v>0</v>
      </c>
      <c r="X286" s="55">
        <f t="shared" si="216"/>
        <v>0</v>
      </c>
      <c r="Y286" s="106">
        <f t="shared" si="216"/>
        <v>31127.421999999999</v>
      </c>
      <c r="Z286" s="46"/>
      <c r="AA286" s="81"/>
    </row>
    <row r="287" spans="1:27" ht="37.5">
      <c r="A287" s="56"/>
      <c r="B287" s="62" t="s">
        <v>65</v>
      </c>
      <c r="C287" s="58">
        <v>905</v>
      </c>
      <c r="D287" s="58" t="s">
        <v>200</v>
      </c>
      <c r="E287" s="83" t="s">
        <v>25</v>
      </c>
      <c r="F287" s="58" t="s">
        <v>292</v>
      </c>
      <c r="G287" s="59"/>
      <c r="H287" s="55">
        <f>H288</f>
        <v>10123.5</v>
      </c>
      <c r="I287" s="55">
        <f>I288</f>
        <v>0</v>
      </c>
      <c r="J287" s="73">
        <f>J288</f>
        <v>25054.399999999998</v>
      </c>
      <c r="K287" s="55">
        <f>K288</f>
        <v>0</v>
      </c>
      <c r="L287" s="55"/>
      <c r="M287" s="55"/>
      <c r="N287" s="55"/>
      <c r="O287" s="70">
        <f t="shared" ref="O287:Y287" si="217">O288</f>
        <v>19693.5</v>
      </c>
      <c r="P287" s="55">
        <f t="shared" si="217"/>
        <v>0</v>
      </c>
      <c r="Q287" s="70">
        <f t="shared" si="217"/>
        <v>0</v>
      </c>
      <c r="R287" s="70">
        <f t="shared" si="217"/>
        <v>0</v>
      </c>
      <c r="S287" s="70">
        <f t="shared" si="217"/>
        <v>0</v>
      </c>
      <c r="T287" s="76">
        <f t="shared" si="217"/>
        <v>16355.41</v>
      </c>
      <c r="U287" s="55">
        <f t="shared" si="217"/>
        <v>0</v>
      </c>
      <c r="V287" s="55">
        <f t="shared" si="217"/>
        <v>0</v>
      </c>
      <c r="W287" s="55">
        <f t="shared" si="217"/>
        <v>0</v>
      </c>
      <c r="X287" s="55">
        <f t="shared" si="217"/>
        <v>0</v>
      </c>
      <c r="Y287" s="106">
        <f t="shared" si="217"/>
        <v>13453.922</v>
      </c>
      <c r="Z287" s="46"/>
      <c r="AA287" s="81"/>
    </row>
    <row r="288" spans="1:27" ht="36" customHeight="1">
      <c r="A288" s="56"/>
      <c r="B288" s="57" t="s">
        <v>56</v>
      </c>
      <c r="C288" s="58">
        <v>905</v>
      </c>
      <c r="D288" s="58" t="s">
        <v>200</v>
      </c>
      <c r="E288" s="83" t="s">
        <v>25</v>
      </c>
      <c r="F288" s="58" t="s">
        <v>292</v>
      </c>
      <c r="G288" s="59">
        <v>600</v>
      </c>
      <c r="H288" s="55">
        <v>10123.5</v>
      </c>
      <c r="I288" s="55"/>
      <c r="J288" s="73">
        <f>26309.1-62.8-1191.9</f>
        <v>25054.399999999998</v>
      </c>
      <c r="K288" s="70">
        <v>0</v>
      </c>
      <c r="L288" s="70"/>
      <c r="M288" s="70"/>
      <c r="N288" s="70"/>
      <c r="O288" s="70">
        <v>19693.5</v>
      </c>
      <c r="P288" s="55"/>
      <c r="Q288" s="73"/>
      <c r="R288" s="73"/>
      <c r="S288" s="73"/>
      <c r="T288" s="77">
        <v>16355.41</v>
      </c>
      <c r="U288" s="57"/>
      <c r="V288" s="55">
        <v>0</v>
      </c>
      <c r="W288" s="57"/>
      <c r="X288" s="57"/>
      <c r="Y288" s="106">
        <v>13453.922</v>
      </c>
      <c r="Z288" s="46"/>
      <c r="AA288" s="81"/>
    </row>
    <row r="289" spans="1:27" ht="37.5" hidden="1">
      <c r="A289" s="56"/>
      <c r="B289" s="57" t="s">
        <v>68</v>
      </c>
      <c r="C289" s="58">
        <v>905</v>
      </c>
      <c r="D289" s="58" t="s">
        <v>200</v>
      </c>
      <c r="E289" s="83" t="s">
        <v>25</v>
      </c>
      <c r="F289" s="58" t="s">
        <v>293</v>
      </c>
      <c r="G289" s="59"/>
      <c r="H289" s="55">
        <f>H290</f>
        <v>88.7</v>
      </c>
      <c r="I289" s="55">
        <f>I290</f>
        <v>1685.6</v>
      </c>
      <c r="J289" s="73">
        <f>J290</f>
        <v>62.8</v>
      </c>
      <c r="K289" s="55">
        <f>K290</f>
        <v>1191.9000000000001</v>
      </c>
      <c r="L289" s="55"/>
      <c r="M289" s="55"/>
      <c r="N289" s="55"/>
      <c r="O289" s="70">
        <f t="shared" ref="O289:T289" si="218">O290</f>
        <v>0</v>
      </c>
      <c r="P289" s="55">
        <f t="shared" si="218"/>
        <v>0</v>
      </c>
      <c r="Q289" s="70">
        <f t="shared" si="218"/>
        <v>0</v>
      </c>
      <c r="R289" s="70">
        <f t="shared" si="218"/>
        <v>0</v>
      </c>
      <c r="S289" s="70">
        <f t="shared" si="218"/>
        <v>0</v>
      </c>
      <c r="T289" s="76">
        <f t="shared" si="218"/>
        <v>0</v>
      </c>
      <c r="U289" s="57"/>
      <c r="V289" s="57"/>
      <c r="W289" s="57"/>
      <c r="X289" s="57"/>
      <c r="Y289" s="106">
        <f>T289+X289</f>
        <v>0</v>
      </c>
      <c r="Z289" s="46"/>
      <c r="AA289" s="81"/>
    </row>
    <row r="290" spans="1:27" ht="39.75" hidden="1" customHeight="1">
      <c r="A290" s="56"/>
      <c r="B290" s="57" t="s">
        <v>56</v>
      </c>
      <c r="C290" s="58">
        <v>905</v>
      </c>
      <c r="D290" s="58" t="s">
        <v>200</v>
      </c>
      <c r="E290" s="83" t="s">
        <v>25</v>
      </c>
      <c r="F290" s="58" t="s">
        <v>293</v>
      </c>
      <c r="G290" s="59">
        <v>600</v>
      </c>
      <c r="H290" s="55">
        <v>88.7</v>
      </c>
      <c r="I290" s="55">
        <v>1685.6</v>
      </c>
      <c r="J290" s="73">
        <v>62.8</v>
      </c>
      <c r="K290" s="70">
        <v>1191.9000000000001</v>
      </c>
      <c r="L290" s="70"/>
      <c r="M290" s="70"/>
      <c r="N290" s="70"/>
      <c r="O290" s="70"/>
      <c r="P290" s="55"/>
      <c r="Q290" s="73"/>
      <c r="R290" s="73"/>
      <c r="S290" s="73"/>
      <c r="T290" s="77">
        <f>O290+P290+Q290+R290+S290</f>
        <v>0</v>
      </c>
      <c r="U290" s="57"/>
      <c r="V290" s="57"/>
      <c r="W290" s="57"/>
      <c r="X290" s="57"/>
      <c r="Y290" s="106">
        <f>T290+X290</f>
        <v>0</v>
      </c>
      <c r="Z290" s="46"/>
      <c r="AA290" s="81"/>
    </row>
    <row r="291" spans="1:27" ht="37.5">
      <c r="A291" s="56"/>
      <c r="B291" s="57" t="s">
        <v>294</v>
      </c>
      <c r="C291" s="58">
        <v>905</v>
      </c>
      <c r="D291" s="58" t="s">
        <v>200</v>
      </c>
      <c r="E291" s="83" t="s">
        <v>25</v>
      </c>
      <c r="F291" s="58" t="s">
        <v>295</v>
      </c>
      <c r="G291" s="59"/>
      <c r="H291" s="55">
        <f>H292</f>
        <v>10553</v>
      </c>
      <c r="I291" s="55">
        <f>I292</f>
        <v>0</v>
      </c>
      <c r="J291" s="73">
        <f>J292</f>
        <v>0</v>
      </c>
      <c r="K291" s="55">
        <f>K292</f>
        <v>0</v>
      </c>
      <c r="L291" s="55"/>
      <c r="M291" s="55"/>
      <c r="N291" s="55"/>
      <c r="O291" s="70">
        <f t="shared" ref="O291:S291" si="219">O292</f>
        <v>10343.299999999999</v>
      </c>
      <c r="P291" s="55">
        <f t="shared" si="219"/>
        <v>0</v>
      </c>
      <c r="Q291" s="70">
        <f t="shared" si="219"/>
        <v>0</v>
      </c>
      <c r="R291" s="70">
        <f t="shared" si="219"/>
        <v>0</v>
      </c>
      <c r="S291" s="70">
        <f t="shared" si="219"/>
        <v>0</v>
      </c>
      <c r="T291" s="76">
        <f t="shared" ref="T291:Y291" si="220">T292+T293</f>
        <v>18181.189999999999</v>
      </c>
      <c r="U291" s="55">
        <f t="shared" si="220"/>
        <v>0</v>
      </c>
      <c r="V291" s="55">
        <f t="shared" si="220"/>
        <v>0</v>
      </c>
      <c r="W291" s="55">
        <f t="shared" si="220"/>
        <v>0</v>
      </c>
      <c r="X291" s="55">
        <f t="shared" si="220"/>
        <v>0</v>
      </c>
      <c r="Y291" s="106">
        <f t="shared" si="220"/>
        <v>17673.5</v>
      </c>
      <c r="Z291" s="46"/>
      <c r="AA291" s="81"/>
    </row>
    <row r="292" spans="1:27" ht="39.75" customHeight="1">
      <c r="A292" s="56"/>
      <c r="B292" s="57" t="s">
        <v>56</v>
      </c>
      <c r="C292" s="58">
        <v>905</v>
      </c>
      <c r="D292" s="58" t="s">
        <v>200</v>
      </c>
      <c r="E292" s="83" t="s">
        <v>25</v>
      </c>
      <c r="F292" s="58" t="s">
        <v>295</v>
      </c>
      <c r="G292" s="59">
        <v>600</v>
      </c>
      <c r="H292" s="55">
        <v>10553</v>
      </c>
      <c r="I292" s="55"/>
      <c r="J292" s="73"/>
      <c r="K292" s="70"/>
      <c r="L292" s="70"/>
      <c r="M292" s="70"/>
      <c r="N292" s="70"/>
      <c r="O292" s="70">
        <v>10343.299999999999</v>
      </c>
      <c r="P292" s="55"/>
      <c r="Q292" s="73"/>
      <c r="R292" s="73"/>
      <c r="S292" s="73"/>
      <c r="T292" s="77">
        <v>18125.39</v>
      </c>
      <c r="U292" s="57">
        <v>0</v>
      </c>
      <c r="V292" s="57"/>
      <c r="W292" s="57"/>
      <c r="X292" s="57"/>
      <c r="Y292" s="106">
        <v>17673.5</v>
      </c>
      <c r="Z292" s="46"/>
      <c r="AA292" s="81"/>
    </row>
    <row r="293" spans="1:27" ht="24.75" hidden="1" customHeight="1">
      <c r="A293" s="56"/>
      <c r="B293" s="57" t="s">
        <v>38</v>
      </c>
      <c r="C293" s="58">
        <v>905</v>
      </c>
      <c r="D293" s="58" t="s">
        <v>200</v>
      </c>
      <c r="E293" s="83" t="s">
        <v>25</v>
      </c>
      <c r="F293" s="58" t="s">
        <v>295</v>
      </c>
      <c r="G293" s="59">
        <v>800</v>
      </c>
      <c r="H293" s="55"/>
      <c r="I293" s="55"/>
      <c r="J293" s="73"/>
      <c r="K293" s="70"/>
      <c r="L293" s="70"/>
      <c r="M293" s="70"/>
      <c r="N293" s="70"/>
      <c r="O293" s="70"/>
      <c r="P293" s="55"/>
      <c r="Q293" s="73"/>
      <c r="R293" s="73"/>
      <c r="S293" s="73"/>
      <c r="T293" s="77">
        <v>55.8</v>
      </c>
      <c r="U293" s="57">
        <v>0</v>
      </c>
      <c r="V293" s="57"/>
      <c r="W293" s="57"/>
      <c r="X293" s="57"/>
      <c r="Y293" s="106">
        <v>0</v>
      </c>
      <c r="Z293" s="46"/>
      <c r="AA293" s="81"/>
    </row>
    <row r="294" spans="1:27" ht="27" customHeight="1">
      <c r="A294" s="56"/>
      <c r="B294" s="57" t="s">
        <v>296</v>
      </c>
      <c r="C294" s="58">
        <v>905</v>
      </c>
      <c r="D294" s="58" t="s">
        <v>200</v>
      </c>
      <c r="E294" s="83" t="s">
        <v>25</v>
      </c>
      <c r="F294" s="58" t="s">
        <v>297</v>
      </c>
      <c r="G294" s="59"/>
      <c r="H294" s="55">
        <f>H295+H297+H299</f>
        <v>409.8</v>
      </c>
      <c r="I294" s="55">
        <f>I295+I297+I299</f>
        <v>0</v>
      </c>
      <c r="J294" s="73">
        <f t="shared" ref="J294:Y294" si="221">J295+J297+J299+J301+J303</f>
        <v>2320</v>
      </c>
      <c r="K294" s="55">
        <f t="shared" si="221"/>
        <v>0</v>
      </c>
      <c r="L294" s="73">
        <f t="shared" si="221"/>
        <v>0</v>
      </c>
      <c r="M294" s="73">
        <f t="shared" si="221"/>
        <v>0</v>
      </c>
      <c r="N294" s="73">
        <f t="shared" si="221"/>
        <v>0</v>
      </c>
      <c r="O294" s="70">
        <f t="shared" si="221"/>
        <v>461.4</v>
      </c>
      <c r="P294" s="55">
        <f t="shared" si="221"/>
        <v>0</v>
      </c>
      <c r="Q294" s="70">
        <f t="shared" si="221"/>
        <v>0</v>
      </c>
      <c r="R294" s="70">
        <f t="shared" si="221"/>
        <v>0</v>
      </c>
      <c r="S294" s="70">
        <f t="shared" si="221"/>
        <v>0</v>
      </c>
      <c r="T294" s="76">
        <f t="shared" si="221"/>
        <v>1365.8</v>
      </c>
      <c r="U294" s="55">
        <f t="shared" si="221"/>
        <v>0</v>
      </c>
      <c r="V294" s="55">
        <f t="shared" si="221"/>
        <v>0</v>
      </c>
      <c r="W294" s="55">
        <f t="shared" si="221"/>
        <v>0</v>
      </c>
      <c r="X294" s="55">
        <f t="shared" si="221"/>
        <v>0</v>
      </c>
      <c r="Y294" s="106">
        <f t="shared" si="221"/>
        <v>1275.8000000000002</v>
      </c>
      <c r="Z294" s="46"/>
      <c r="AA294" s="81"/>
    </row>
    <row r="295" spans="1:27" ht="27" customHeight="1">
      <c r="A295" s="56"/>
      <c r="B295" s="57" t="s">
        <v>298</v>
      </c>
      <c r="C295" s="58">
        <v>905</v>
      </c>
      <c r="D295" s="58" t="s">
        <v>200</v>
      </c>
      <c r="E295" s="83" t="s">
        <v>25</v>
      </c>
      <c r="F295" s="58" t="s">
        <v>299</v>
      </c>
      <c r="G295" s="59"/>
      <c r="H295" s="55">
        <f>H296</f>
        <v>160</v>
      </c>
      <c r="I295" s="55">
        <f>I296</f>
        <v>0</v>
      </c>
      <c r="J295" s="73">
        <f>J296</f>
        <v>371.6</v>
      </c>
      <c r="K295" s="55">
        <f>K296</f>
        <v>0</v>
      </c>
      <c r="L295" s="55"/>
      <c r="M295" s="55"/>
      <c r="N295" s="55"/>
      <c r="O295" s="70">
        <f t="shared" ref="O295:Y295" si="222">O296</f>
        <v>371.6</v>
      </c>
      <c r="P295" s="55">
        <f t="shared" si="222"/>
        <v>0</v>
      </c>
      <c r="Q295" s="70">
        <f t="shared" si="222"/>
        <v>0</v>
      </c>
      <c r="R295" s="70">
        <f t="shared" si="222"/>
        <v>0</v>
      </c>
      <c r="S295" s="70">
        <f t="shared" si="222"/>
        <v>0</v>
      </c>
      <c r="T295" s="76">
        <f t="shared" si="222"/>
        <v>1291.8</v>
      </c>
      <c r="U295" s="55">
        <f t="shared" si="222"/>
        <v>0</v>
      </c>
      <c r="V295" s="55">
        <f t="shared" si="222"/>
        <v>0</v>
      </c>
      <c r="W295" s="55">
        <f t="shared" si="222"/>
        <v>0</v>
      </c>
      <c r="X295" s="55">
        <f t="shared" si="222"/>
        <v>0</v>
      </c>
      <c r="Y295" s="106">
        <f t="shared" si="222"/>
        <v>1070.6000000000001</v>
      </c>
      <c r="Z295" s="46"/>
      <c r="AA295" s="81"/>
    </row>
    <row r="296" spans="1:27" ht="37.5">
      <c r="A296" s="56"/>
      <c r="B296" s="57" t="s">
        <v>56</v>
      </c>
      <c r="C296" s="58">
        <v>905</v>
      </c>
      <c r="D296" s="58" t="s">
        <v>200</v>
      </c>
      <c r="E296" s="83" t="s">
        <v>25</v>
      </c>
      <c r="F296" s="58" t="s">
        <v>299</v>
      </c>
      <c r="G296" s="59">
        <v>600</v>
      </c>
      <c r="H296" s="55">
        <v>160</v>
      </c>
      <c r="I296" s="55">
        <v>0</v>
      </c>
      <c r="J296" s="73">
        <v>371.6</v>
      </c>
      <c r="K296" s="70"/>
      <c r="L296" s="70"/>
      <c r="M296" s="70"/>
      <c r="N296" s="70"/>
      <c r="O296" s="70">
        <v>371.6</v>
      </c>
      <c r="P296" s="55"/>
      <c r="Q296" s="73"/>
      <c r="R296" s="73"/>
      <c r="S296" s="73"/>
      <c r="T296" s="77">
        <v>1291.8</v>
      </c>
      <c r="U296" s="57"/>
      <c r="V296" s="57"/>
      <c r="W296" s="57"/>
      <c r="X296" s="57"/>
      <c r="Y296" s="106">
        <f>1057.9+12.7</f>
        <v>1070.6000000000001</v>
      </c>
      <c r="Z296" s="46"/>
      <c r="AA296" s="81"/>
    </row>
    <row r="297" spans="1:27" ht="37.5">
      <c r="A297" s="56"/>
      <c r="B297" s="57" t="s">
        <v>300</v>
      </c>
      <c r="C297" s="58">
        <v>905</v>
      </c>
      <c r="D297" s="58" t="s">
        <v>200</v>
      </c>
      <c r="E297" s="83" t="s">
        <v>25</v>
      </c>
      <c r="F297" s="58" t="s">
        <v>301</v>
      </c>
      <c r="G297" s="59"/>
      <c r="H297" s="55">
        <f>H298</f>
        <v>100</v>
      </c>
      <c r="I297" s="55">
        <f>I298</f>
        <v>0</v>
      </c>
      <c r="J297" s="73">
        <f>J298</f>
        <v>65.900000000000006</v>
      </c>
      <c r="K297" s="55">
        <f>K298</f>
        <v>0</v>
      </c>
      <c r="L297" s="55"/>
      <c r="M297" s="55"/>
      <c r="N297" s="55"/>
      <c r="O297" s="70">
        <f t="shared" ref="O297:Y297" si="223">O298</f>
        <v>65.900000000000006</v>
      </c>
      <c r="P297" s="55">
        <f t="shared" si="223"/>
        <v>0</v>
      </c>
      <c r="Q297" s="70">
        <f t="shared" si="223"/>
        <v>0</v>
      </c>
      <c r="R297" s="70">
        <f t="shared" si="223"/>
        <v>0</v>
      </c>
      <c r="S297" s="70">
        <f t="shared" si="223"/>
        <v>0</v>
      </c>
      <c r="T297" s="76">
        <f t="shared" si="223"/>
        <v>70</v>
      </c>
      <c r="U297" s="55">
        <f t="shared" si="223"/>
        <v>0</v>
      </c>
      <c r="V297" s="55">
        <f t="shared" si="223"/>
        <v>0</v>
      </c>
      <c r="W297" s="55">
        <f t="shared" si="223"/>
        <v>0</v>
      </c>
      <c r="X297" s="55">
        <f t="shared" si="223"/>
        <v>0</v>
      </c>
      <c r="Y297" s="106">
        <f t="shared" si="223"/>
        <v>57.3</v>
      </c>
      <c r="Z297" s="46"/>
      <c r="AA297" s="81"/>
    </row>
    <row r="298" spans="1:27" ht="36" customHeight="1">
      <c r="A298" s="56"/>
      <c r="B298" s="57" t="s">
        <v>56</v>
      </c>
      <c r="C298" s="58">
        <v>905</v>
      </c>
      <c r="D298" s="58" t="s">
        <v>200</v>
      </c>
      <c r="E298" s="83" t="s">
        <v>25</v>
      </c>
      <c r="F298" s="58" t="s">
        <v>301</v>
      </c>
      <c r="G298" s="59">
        <v>600</v>
      </c>
      <c r="H298" s="55">
        <v>100</v>
      </c>
      <c r="I298" s="55">
        <v>0</v>
      </c>
      <c r="J298" s="73">
        <v>65.900000000000006</v>
      </c>
      <c r="K298" s="70"/>
      <c r="L298" s="70"/>
      <c r="M298" s="70"/>
      <c r="N298" s="70"/>
      <c r="O298" s="70">
        <v>65.900000000000006</v>
      </c>
      <c r="P298" s="55"/>
      <c r="Q298" s="73"/>
      <c r="R298" s="73"/>
      <c r="S298" s="73"/>
      <c r="T298" s="77">
        <v>70</v>
      </c>
      <c r="U298" s="57"/>
      <c r="V298" s="57"/>
      <c r="W298" s="57"/>
      <c r="X298" s="57"/>
      <c r="Y298" s="106">
        <f>70-12.7</f>
        <v>57.3</v>
      </c>
      <c r="Z298" s="46"/>
      <c r="AA298" s="81"/>
    </row>
    <row r="299" spans="1:27" ht="37.5">
      <c r="A299" s="56"/>
      <c r="B299" s="57" t="s">
        <v>302</v>
      </c>
      <c r="C299" s="58">
        <v>905</v>
      </c>
      <c r="D299" s="58" t="s">
        <v>200</v>
      </c>
      <c r="E299" s="83" t="s">
        <v>25</v>
      </c>
      <c r="F299" s="58" t="s">
        <v>303</v>
      </c>
      <c r="G299" s="59"/>
      <c r="H299" s="55">
        <f>H300</f>
        <v>149.80000000000001</v>
      </c>
      <c r="I299" s="55">
        <f>I300</f>
        <v>0</v>
      </c>
      <c r="J299" s="73">
        <f>J300</f>
        <v>1652.2</v>
      </c>
      <c r="K299" s="55">
        <f>K300</f>
        <v>0</v>
      </c>
      <c r="L299" s="55"/>
      <c r="M299" s="55"/>
      <c r="N299" s="55"/>
      <c r="O299" s="70">
        <f t="shared" ref="O299:Y299" si="224">O300</f>
        <v>0</v>
      </c>
      <c r="P299" s="55">
        <f t="shared" si="224"/>
        <v>0</v>
      </c>
      <c r="Q299" s="70">
        <f t="shared" si="224"/>
        <v>0</v>
      </c>
      <c r="R299" s="70">
        <f t="shared" si="224"/>
        <v>0</v>
      </c>
      <c r="S299" s="70">
        <f t="shared" si="224"/>
        <v>0</v>
      </c>
      <c r="T299" s="76">
        <f t="shared" si="224"/>
        <v>0</v>
      </c>
      <c r="U299" s="55">
        <f t="shared" si="224"/>
        <v>0</v>
      </c>
      <c r="V299" s="55">
        <f t="shared" si="224"/>
        <v>0</v>
      </c>
      <c r="W299" s="55">
        <f t="shared" si="224"/>
        <v>0</v>
      </c>
      <c r="X299" s="55">
        <f t="shared" si="224"/>
        <v>0</v>
      </c>
      <c r="Y299" s="106">
        <f t="shared" si="224"/>
        <v>143.9</v>
      </c>
      <c r="Z299" s="46"/>
      <c r="AA299" s="81"/>
    </row>
    <row r="300" spans="1:27" ht="40.5" customHeight="1">
      <c r="A300" s="56"/>
      <c r="B300" s="57" t="s">
        <v>56</v>
      </c>
      <c r="C300" s="58">
        <v>905</v>
      </c>
      <c r="D300" s="58" t="s">
        <v>200</v>
      </c>
      <c r="E300" s="83" t="s">
        <v>25</v>
      </c>
      <c r="F300" s="58" t="s">
        <v>303</v>
      </c>
      <c r="G300" s="59">
        <v>600</v>
      </c>
      <c r="H300" s="55">
        <v>149.80000000000001</v>
      </c>
      <c r="I300" s="55">
        <v>0</v>
      </c>
      <c r="J300" s="73">
        <v>1652.2</v>
      </c>
      <c r="K300" s="70">
        <v>0</v>
      </c>
      <c r="L300" s="70"/>
      <c r="M300" s="70"/>
      <c r="N300" s="70"/>
      <c r="O300" s="70"/>
      <c r="P300" s="55">
        <v>0</v>
      </c>
      <c r="Q300" s="55">
        <v>0</v>
      </c>
      <c r="R300" s="73"/>
      <c r="S300" s="73"/>
      <c r="T300" s="77"/>
      <c r="U300" s="55">
        <v>0</v>
      </c>
      <c r="V300" s="55">
        <v>0</v>
      </c>
      <c r="W300" s="57"/>
      <c r="X300" s="57"/>
      <c r="Y300" s="106">
        <v>143.9</v>
      </c>
      <c r="Z300" s="46"/>
      <c r="AA300" s="81"/>
    </row>
    <row r="301" spans="1:27" ht="37.5" hidden="1">
      <c r="A301" s="56"/>
      <c r="B301" s="57" t="s">
        <v>304</v>
      </c>
      <c r="C301" s="58">
        <v>905</v>
      </c>
      <c r="D301" s="58" t="s">
        <v>200</v>
      </c>
      <c r="E301" s="83" t="s">
        <v>25</v>
      </c>
      <c r="F301" s="58" t="s">
        <v>305</v>
      </c>
      <c r="G301" s="59"/>
      <c r="H301" s="55"/>
      <c r="I301" s="55"/>
      <c r="J301" s="73">
        <f>J302</f>
        <v>0</v>
      </c>
      <c r="K301" s="55">
        <f>K302</f>
        <v>0</v>
      </c>
      <c r="L301" s="55"/>
      <c r="M301" s="55"/>
      <c r="N301" s="55"/>
      <c r="O301" s="70">
        <f t="shared" ref="O301:T301" si="225">O302</f>
        <v>0</v>
      </c>
      <c r="P301" s="55">
        <f t="shared" si="225"/>
        <v>0</v>
      </c>
      <c r="Q301" s="70">
        <f t="shared" si="225"/>
        <v>0</v>
      </c>
      <c r="R301" s="70">
        <f t="shared" si="225"/>
        <v>0</v>
      </c>
      <c r="S301" s="70">
        <f t="shared" si="225"/>
        <v>0</v>
      </c>
      <c r="T301" s="76">
        <f t="shared" si="225"/>
        <v>0</v>
      </c>
      <c r="U301" s="57"/>
      <c r="V301" s="57"/>
      <c r="W301" s="57"/>
      <c r="X301" s="57"/>
      <c r="Y301" s="106"/>
      <c r="Z301" s="46"/>
      <c r="AA301" s="81"/>
    </row>
    <row r="302" spans="1:27" ht="37.5" hidden="1">
      <c r="A302" s="56"/>
      <c r="B302" s="57" t="s">
        <v>56</v>
      </c>
      <c r="C302" s="58">
        <v>905</v>
      </c>
      <c r="D302" s="58" t="s">
        <v>200</v>
      </c>
      <c r="E302" s="83" t="s">
        <v>25</v>
      </c>
      <c r="F302" s="58" t="s">
        <v>305</v>
      </c>
      <c r="G302" s="59">
        <v>600</v>
      </c>
      <c r="H302" s="55"/>
      <c r="I302" s="55"/>
      <c r="J302" s="73">
        <v>0</v>
      </c>
      <c r="K302" s="70"/>
      <c r="L302" s="70"/>
      <c r="M302" s="70"/>
      <c r="N302" s="70"/>
      <c r="O302" s="70">
        <f>J302+K302+M302+N302+L302</f>
        <v>0</v>
      </c>
      <c r="P302" s="55"/>
      <c r="Q302" s="73"/>
      <c r="R302" s="73"/>
      <c r="S302" s="73"/>
      <c r="T302" s="77">
        <f>O302+P302+Q302+R302+S302</f>
        <v>0</v>
      </c>
      <c r="U302" s="57"/>
      <c r="V302" s="57"/>
      <c r="W302" s="57"/>
      <c r="X302" s="57"/>
      <c r="Y302" s="106"/>
      <c r="Z302" s="46"/>
      <c r="AA302" s="81"/>
    </row>
    <row r="303" spans="1:27">
      <c r="A303" s="56"/>
      <c r="B303" s="57" t="s">
        <v>243</v>
      </c>
      <c r="C303" s="58">
        <v>905</v>
      </c>
      <c r="D303" s="58" t="s">
        <v>200</v>
      </c>
      <c r="E303" s="83" t="s">
        <v>25</v>
      </c>
      <c r="F303" s="58" t="s">
        <v>306</v>
      </c>
      <c r="G303" s="59"/>
      <c r="H303" s="55"/>
      <c r="I303" s="55"/>
      <c r="J303" s="73">
        <f>J304</f>
        <v>230.3</v>
      </c>
      <c r="K303" s="55">
        <f t="shared" ref="K303:Y303" si="226">K304</f>
        <v>0</v>
      </c>
      <c r="L303" s="73">
        <f t="shared" si="226"/>
        <v>0</v>
      </c>
      <c r="M303" s="73">
        <f t="shared" si="226"/>
        <v>0</v>
      </c>
      <c r="N303" s="73">
        <f t="shared" si="226"/>
        <v>0</v>
      </c>
      <c r="O303" s="70">
        <f t="shared" si="226"/>
        <v>23.9</v>
      </c>
      <c r="P303" s="55">
        <f t="shared" si="226"/>
        <v>0</v>
      </c>
      <c r="Q303" s="70">
        <f t="shared" si="226"/>
        <v>0</v>
      </c>
      <c r="R303" s="70">
        <f t="shared" si="226"/>
        <v>0</v>
      </c>
      <c r="S303" s="70">
        <f t="shared" si="226"/>
        <v>0</v>
      </c>
      <c r="T303" s="76">
        <f t="shared" si="226"/>
        <v>4</v>
      </c>
      <c r="U303" s="55">
        <f t="shared" si="226"/>
        <v>0</v>
      </c>
      <c r="V303" s="55">
        <f t="shared" si="226"/>
        <v>0</v>
      </c>
      <c r="W303" s="55">
        <f t="shared" si="226"/>
        <v>0</v>
      </c>
      <c r="X303" s="55">
        <f t="shared" si="226"/>
        <v>0</v>
      </c>
      <c r="Y303" s="106">
        <f t="shared" si="226"/>
        <v>4</v>
      </c>
      <c r="Z303" s="46"/>
      <c r="AA303" s="81"/>
    </row>
    <row r="304" spans="1:27" ht="37.5">
      <c r="A304" s="56"/>
      <c r="B304" s="57" t="s">
        <v>56</v>
      </c>
      <c r="C304" s="58">
        <v>905</v>
      </c>
      <c r="D304" s="58" t="s">
        <v>200</v>
      </c>
      <c r="E304" s="83" t="s">
        <v>25</v>
      </c>
      <c r="F304" s="58" t="s">
        <v>306</v>
      </c>
      <c r="G304" s="59">
        <v>600</v>
      </c>
      <c r="H304" s="55"/>
      <c r="I304" s="55"/>
      <c r="J304" s="73">
        <v>230.3</v>
      </c>
      <c r="K304" s="70"/>
      <c r="L304" s="70"/>
      <c r="M304" s="70"/>
      <c r="N304" s="70"/>
      <c r="O304" s="70">
        <v>23.9</v>
      </c>
      <c r="P304" s="55">
        <v>0</v>
      </c>
      <c r="Q304" s="55"/>
      <c r="R304" s="55"/>
      <c r="S304" s="55"/>
      <c r="T304" s="77">
        <v>4</v>
      </c>
      <c r="U304" s="57">
        <v>0</v>
      </c>
      <c r="V304" s="57"/>
      <c r="W304" s="57"/>
      <c r="X304" s="57"/>
      <c r="Y304" s="106">
        <f>T304+U304+V304+W304+X304</f>
        <v>4</v>
      </c>
      <c r="Z304" s="46"/>
      <c r="AA304" s="81"/>
    </row>
    <row r="305" spans="1:27" ht="59.25" customHeight="1">
      <c r="A305" s="56"/>
      <c r="B305" s="57" t="s">
        <v>72</v>
      </c>
      <c r="C305" s="58">
        <v>905</v>
      </c>
      <c r="D305" s="83" t="s">
        <v>200</v>
      </c>
      <c r="E305" s="83" t="s">
        <v>25</v>
      </c>
      <c r="F305" s="58" t="s">
        <v>307</v>
      </c>
      <c r="G305" s="59"/>
      <c r="H305" s="55">
        <f t="shared" ref="H305:K306" si="227">H306</f>
        <v>0</v>
      </c>
      <c r="I305" s="55">
        <f t="shared" si="227"/>
        <v>350</v>
      </c>
      <c r="J305" s="73">
        <f t="shared" si="227"/>
        <v>0</v>
      </c>
      <c r="K305" s="55">
        <f t="shared" si="227"/>
        <v>359.1</v>
      </c>
      <c r="L305" s="55"/>
      <c r="M305" s="55"/>
      <c r="N305" s="55"/>
      <c r="O305" s="70">
        <f>O306</f>
        <v>0</v>
      </c>
      <c r="P305" s="55">
        <f t="shared" ref="P305:Y306" si="228">P306</f>
        <v>470</v>
      </c>
      <c r="Q305" s="70">
        <f t="shared" si="228"/>
        <v>0</v>
      </c>
      <c r="R305" s="70">
        <f t="shared" si="228"/>
        <v>0</v>
      </c>
      <c r="S305" s="70">
        <f t="shared" si="228"/>
        <v>0</v>
      </c>
      <c r="T305" s="76">
        <f t="shared" si="228"/>
        <v>0</v>
      </c>
      <c r="U305" s="55">
        <f t="shared" si="228"/>
        <v>0</v>
      </c>
      <c r="V305" s="55">
        <f t="shared" si="228"/>
        <v>0</v>
      </c>
      <c r="W305" s="55">
        <f t="shared" si="228"/>
        <v>0</v>
      </c>
      <c r="X305" s="55">
        <f t="shared" si="228"/>
        <v>570</v>
      </c>
      <c r="Y305" s="106">
        <f t="shared" si="228"/>
        <v>460</v>
      </c>
      <c r="Z305" s="46"/>
      <c r="AA305" s="81"/>
    </row>
    <row r="306" spans="1:27" ht="22.5" customHeight="1">
      <c r="A306" s="56"/>
      <c r="B306" s="57" t="s">
        <v>74</v>
      </c>
      <c r="C306" s="58">
        <v>905</v>
      </c>
      <c r="D306" s="83" t="s">
        <v>200</v>
      </c>
      <c r="E306" s="83" t="s">
        <v>25</v>
      </c>
      <c r="F306" s="58" t="s">
        <v>308</v>
      </c>
      <c r="G306" s="59"/>
      <c r="H306" s="55">
        <f t="shared" si="227"/>
        <v>0</v>
      </c>
      <c r="I306" s="55">
        <f t="shared" si="227"/>
        <v>350</v>
      </c>
      <c r="J306" s="73">
        <f t="shared" si="227"/>
        <v>0</v>
      </c>
      <c r="K306" s="55">
        <f t="shared" si="227"/>
        <v>359.1</v>
      </c>
      <c r="L306" s="55"/>
      <c r="M306" s="55"/>
      <c r="N306" s="55"/>
      <c r="O306" s="70">
        <f>O307</f>
        <v>0</v>
      </c>
      <c r="P306" s="55">
        <f t="shared" si="228"/>
        <v>470</v>
      </c>
      <c r="Q306" s="70">
        <f t="shared" si="228"/>
        <v>0</v>
      </c>
      <c r="R306" s="70">
        <f t="shared" si="228"/>
        <v>0</v>
      </c>
      <c r="S306" s="70">
        <f t="shared" si="228"/>
        <v>0</v>
      </c>
      <c r="T306" s="76">
        <f t="shared" si="228"/>
        <v>0</v>
      </c>
      <c r="U306" s="55">
        <f t="shared" si="228"/>
        <v>0</v>
      </c>
      <c r="V306" s="55">
        <f t="shared" si="228"/>
        <v>0</v>
      </c>
      <c r="W306" s="55">
        <f t="shared" si="228"/>
        <v>0</v>
      </c>
      <c r="X306" s="55">
        <f t="shared" si="228"/>
        <v>570</v>
      </c>
      <c r="Y306" s="106">
        <f t="shared" si="228"/>
        <v>460</v>
      </c>
      <c r="Z306" s="46"/>
      <c r="AA306" s="81"/>
    </row>
    <row r="307" spans="1:27" ht="36.950000000000003" customHeight="1">
      <c r="A307" s="56"/>
      <c r="B307" s="57" t="s">
        <v>56</v>
      </c>
      <c r="C307" s="58">
        <v>905</v>
      </c>
      <c r="D307" s="83" t="s">
        <v>200</v>
      </c>
      <c r="E307" s="83" t="s">
        <v>25</v>
      </c>
      <c r="F307" s="58" t="s">
        <v>308</v>
      </c>
      <c r="G307" s="59">
        <v>600</v>
      </c>
      <c r="H307" s="55"/>
      <c r="I307" s="55">
        <v>350</v>
      </c>
      <c r="J307" s="73"/>
      <c r="K307" s="70">
        <v>359.1</v>
      </c>
      <c r="L307" s="70"/>
      <c r="M307" s="70"/>
      <c r="N307" s="70"/>
      <c r="O307" s="70"/>
      <c r="P307" s="55">
        <v>470</v>
      </c>
      <c r="Q307" s="73"/>
      <c r="R307" s="73"/>
      <c r="S307" s="73"/>
      <c r="T307" s="77"/>
      <c r="U307" s="57"/>
      <c r="V307" s="57"/>
      <c r="W307" s="57"/>
      <c r="X307" s="80">
        <v>570</v>
      </c>
      <c r="Y307" s="106">
        <v>460</v>
      </c>
      <c r="Z307" s="46"/>
      <c r="AA307" s="81"/>
    </row>
    <row r="308" spans="1:27" ht="39" hidden="1" customHeight="1">
      <c r="A308" s="56"/>
      <c r="B308" s="57" t="s">
        <v>309</v>
      </c>
      <c r="C308" s="58">
        <v>905</v>
      </c>
      <c r="D308" s="58" t="s">
        <v>200</v>
      </c>
      <c r="E308" s="83" t="s">
        <v>25</v>
      </c>
      <c r="F308" s="58" t="s">
        <v>310</v>
      </c>
      <c r="G308" s="59"/>
      <c r="H308" s="55"/>
      <c r="I308" s="55"/>
      <c r="J308" s="73">
        <f>J309</f>
        <v>0</v>
      </c>
      <c r="K308" s="55">
        <f>K309</f>
        <v>0</v>
      </c>
      <c r="L308" s="55"/>
      <c r="M308" s="55"/>
      <c r="N308" s="55"/>
      <c r="O308" s="70">
        <f>O309</f>
        <v>0</v>
      </c>
      <c r="P308" s="55"/>
      <c r="Q308" s="55"/>
      <c r="R308" s="55"/>
      <c r="S308" s="55"/>
      <c r="T308" s="77"/>
      <c r="U308" s="57"/>
      <c r="V308" s="57"/>
      <c r="W308" s="57"/>
      <c r="X308" s="57"/>
      <c r="Y308" s="106"/>
      <c r="Z308" s="46"/>
      <c r="AA308" s="81"/>
    </row>
    <row r="309" spans="1:27" ht="37.5" hidden="1">
      <c r="A309" s="56"/>
      <c r="B309" s="63" t="s">
        <v>311</v>
      </c>
      <c r="C309" s="58">
        <v>905</v>
      </c>
      <c r="D309" s="58" t="s">
        <v>200</v>
      </c>
      <c r="E309" s="83" t="s">
        <v>25</v>
      </c>
      <c r="F309" s="58" t="s">
        <v>312</v>
      </c>
      <c r="G309" s="59"/>
      <c r="H309" s="55"/>
      <c r="I309" s="55"/>
      <c r="J309" s="73">
        <f>J310</f>
        <v>0</v>
      </c>
      <c r="K309" s="55">
        <f>K310</f>
        <v>0</v>
      </c>
      <c r="L309" s="55"/>
      <c r="M309" s="55"/>
      <c r="N309" s="55"/>
      <c r="O309" s="70">
        <f t="shared" ref="O309:T309" si="229">O310</f>
        <v>0</v>
      </c>
      <c r="P309" s="55">
        <f t="shared" si="229"/>
        <v>0</v>
      </c>
      <c r="Q309" s="70">
        <f t="shared" si="229"/>
        <v>0</v>
      </c>
      <c r="R309" s="70">
        <f t="shared" si="229"/>
        <v>0</v>
      </c>
      <c r="S309" s="70">
        <f t="shared" si="229"/>
        <v>0</v>
      </c>
      <c r="T309" s="76">
        <f t="shared" si="229"/>
        <v>0</v>
      </c>
      <c r="U309" s="57"/>
      <c r="V309" s="57"/>
      <c r="W309" s="57"/>
      <c r="X309" s="57"/>
      <c r="Y309" s="106"/>
      <c r="Z309" s="46"/>
      <c r="AA309" s="81"/>
    </row>
    <row r="310" spans="1:27" ht="37.5" hidden="1">
      <c r="A310" s="56"/>
      <c r="B310" s="57" t="s">
        <v>56</v>
      </c>
      <c r="C310" s="58">
        <v>905</v>
      </c>
      <c r="D310" s="58" t="s">
        <v>200</v>
      </c>
      <c r="E310" s="83" t="s">
        <v>25</v>
      </c>
      <c r="F310" s="58" t="s">
        <v>312</v>
      </c>
      <c r="G310" s="59">
        <v>600</v>
      </c>
      <c r="H310" s="55"/>
      <c r="I310" s="55"/>
      <c r="J310" s="73">
        <v>0</v>
      </c>
      <c r="K310" s="70">
        <v>0</v>
      </c>
      <c r="L310" s="70"/>
      <c r="M310" s="70"/>
      <c r="N310" s="70"/>
      <c r="O310" s="70"/>
      <c r="P310" s="55"/>
      <c r="Q310" s="73"/>
      <c r="R310" s="73"/>
      <c r="S310" s="73"/>
      <c r="T310" s="77">
        <f>O310+P310+Q310+R310+S310</f>
        <v>0</v>
      </c>
      <c r="U310" s="57"/>
      <c r="V310" s="57"/>
      <c r="W310" s="57"/>
      <c r="X310" s="57"/>
      <c r="Y310" s="106"/>
      <c r="Z310" s="46"/>
      <c r="AA310" s="81"/>
    </row>
    <row r="311" spans="1:27" ht="50.25" customHeight="1">
      <c r="A311" s="56"/>
      <c r="B311" s="62" t="s">
        <v>313</v>
      </c>
      <c r="C311" s="58">
        <v>905</v>
      </c>
      <c r="D311" s="83" t="s">
        <v>200</v>
      </c>
      <c r="E311" s="83" t="s">
        <v>25</v>
      </c>
      <c r="F311" s="58" t="s">
        <v>132</v>
      </c>
      <c r="G311" s="59"/>
      <c r="H311" s="55"/>
      <c r="I311" s="55"/>
      <c r="J311" s="73"/>
      <c r="K311" s="70"/>
      <c r="L311" s="70"/>
      <c r="M311" s="70"/>
      <c r="N311" s="70"/>
      <c r="O311" s="70">
        <f>O312</f>
        <v>85.5</v>
      </c>
      <c r="P311" s="55">
        <f t="shared" ref="P311:Y312" si="230">P312</f>
        <v>0</v>
      </c>
      <c r="Q311" s="73">
        <f t="shared" si="230"/>
        <v>0</v>
      </c>
      <c r="R311" s="73">
        <f t="shared" si="230"/>
        <v>0</v>
      </c>
      <c r="S311" s="73">
        <f t="shared" si="230"/>
        <v>0</v>
      </c>
      <c r="T311" s="77">
        <f t="shared" si="230"/>
        <v>102.8</v>
      </c>
      <c r="U311" s="86">
        <f t="shared" si="230"/>
        <v>0</v>
      </c>
      <c r="V311" s="86">
        <f t="shared" si="230"/>
        <v>0</v>
      </c>
      <c r="W311" s="86">
        <f t="shared" si="230"/>
        <v>0</v>
      </c>
      <c r="X311" s="86">
        <f t="shared" si="230"/>
        <v>0</v>
      </c>
      <c r="Y311" s="106">
        <f t="shared" si="230"/>
        <v>102.8</v>
      </c>
      <c r="Z311" s="46"/>
      <c r="AA311" s="81"/>
    </row>
    <row r="312" spans="1:27" ht="37.5">
      <c r="A312" s="56"/>
      <c r="B312" s="57" t="s">
        <v>133</v>
      </c>
      <c r="C312" s="58">
        <v>905</v>
      </c>
      <c r="D312" s="83" t="s">
        <v>200</v>
      </c>
      <c r="E312" s="83" t="s">
        <v>25</v>
      </c>
      <c r="F312" s="58" t="s">
        <v>134</v>
      </c>
      <c r="G312" s="59"/>
      <c r="H312" s="55"/>
      <c r="I312" s="55"/>
      <c r="J312" s="73"/>
      <c r="K312" s="70"/>
      <c r="L312" s="70"/>
      <c r="M312" s="70"/>
      <c r="N312" s="70"/>
      <c r="O312" s="70">
        <f>O313</f>
        <v>85.5</v>
      </c>
      <c r="P312" s="55">
        <f t="shared" si="230"/>
        <v>0</v>
      </c>
      <c r="Q312" s="73">
        <f t="shared" si="230"/>
        <v>0</v>
      </c>
      <c r="R312" s="73">
        <f t="shared" si="230"/>
        <v>0</v>
      </c>
      <c r="S312" s="73">
        <f t="shared" si="230"/>
        <v>0</v>
      </c>
      <c r="T312" s="77">
        <f t="shared" si="230"/>
        <v>102.8</v>
      </c>
      <c r="U312" s="86">
        <f t="shared" si="230"/>
        <v>0</v>
      </c>
      <c r="V312" s="86">
        <f t="shared" si="230"/>
        <v>0</v>
      </c>
      <c r="W312" s="86">
        <f t="shared" si="230"/>
        <v>0</v>
      </c>
      <c r="X312" s="86">
        <f t="shared" si="230"/>
        <v>0</v>
      </c>
      <c r="Y312" s="106">
        <f t="shared" si="230"/>
        <v>102.8</v>
      </c>
      <c r="Z312" s="46"/>
      <c r="AA312" s="81"/>
    </row>
    <row r="313" spans="1:27" ht="37.5">
      <c r="A313" s="56"/>
      <c r="B313" s="57" t="s">
        <v>56</v>
      </c>
      <c r="C313" s="58">
        <v>905</v>
      </c>
      <c r="D313" s="83" t="s">
        <v>200</v>
      </c>
      <c r="E313" s="83" t="s">
        <v>25</v>
      </c>
      <c r="F313" s="58" t="s">
        <v>134</v>
      </c>
      <c r="G313" s="59">
        <v>600</v>
      </c>
      <c r="H313" s="55"/>
      <c r="I313" s="55"/>
      <c r="J313" s="73"/>
      <c r="K313" s="70"/>
      <c r="L313" s="70"/>
      <c r="M313" s="70"/>
      <c r="N313" s="70"/>
      <c r="O313" s="70">
        <v>85.5</v>
      </c>
      <c r="P313" s="55"/>
      <c r="Q313" s="73"/>
      <c r="R313" s="73"/>
      <c r="S313" s="73"/>
      <c r="T313" s="77">
        <v>102.8</v>
      </c>
      <c r="U313" s="55">
        <v>0</v>
      </c>
      <c r="V313" s="57"/>
      <c r="W313" s="57"/>
      <c r="X313" s="57"/>
      <c r="Y313" s="106">
        <f>T313+U313+V313+W313+X313</f>
        <v>102.8</v>
      </c>
      <c r="Z313" s="46"/>
      <c r="AA313" s="81"/>
    </row>
    <row r="314" spans="1:27">
      <c r="A314" s="56"/>
      <c r="B314" s="57" t="s">
        <v>314</v>
      </c>
      <c r="C314" s="58">
        <v>905</v>
      </c>
      <c r="D314" s="83" t="s">
        <v>200</v>
      </c>
      <c r="E314" s="83" t="s">
        <v>315</v>
      </c>
      <c r="F314" s="58"/>
      <c r="G314" s="59"/>
      <c r="H314" s="55">
        <f>H315+H320</f>
        <v>16224.800000000001</v>
      </c>
      <c r="I314" s="55">
        <f>I315+I320</f>
        <v>588.20000000000005</v>
      </c>
      <c r="J314" s="73" t="e">
        <f>J315+J320</f>
        <v>#REF!</v>
      </c>
      <c r="K314" s="55" t="e">
        <f>K315+K320+K358</f>
        <v>#REF!</v>
      </c>
      <c r="L314" s="55"/>
      <c r="M314" s="55"/>
      <c r="N314" s="55"/>
      <c r="O314" s="70" t="e">
        <f t="shared" ref="O314:T314" si="231">O315+O320+O358+O355</f>
        <v>#REF!</v>
      </c>
      <c r="P314" s="55" t="e">
        <f t="shared" si="231"/>
        <v>#REF!</v>
      </c>
      <c r="Q314" s="70" t="e">
        <f t="shared" si="231"/>
        <v>#REF!</v>
      </c>
      <c r="R314" s="70" t="e">
        <f t="shared" si="231"/>
        <v>#REF!</v>
      </c>
      <c r="S314" s="70" t="e">
        <f t="shared" si="231"/>
        <v>#REF!</v>
      </c>
      <c r="T314" s="76" t="e">
        <f t="shared" si="231"/>
        <v>#REF!</v>
      </c>
      <c r="U314" s="55" t="e">
        <f t="shared" ref="U314:Y314" si="232">U315+U320+U358+U355</f>
        <v>#REF!</v>
      </c>
      <c r="V314" s="55" t="e">
        <f t="shared" si="232"/>
        <v>#REF!</v>
      </c>
      <c r="W314" s="55" t="e">
        <f t="shared" si="232"/>
        <v>#REF!</v>
      </c>
      <c r="X314" s="55" t="e">
        <f t="shared" si="232"/>
        <v>#REF!</v>
      </c>
      <c r="Y314" s="106">
        <f t="shared" si="232"/>
        <v>27908.861000000001</v>
      </c>
      <c r="Z314" s="46">
        <f>Y314+Y604</f>
        <v>28706.971000000001</v>
      </c>
      <c r="AA314" s="81"/>
    </row>
    <row r="315" spans="1:27">
      <c r="A315" s="56" t="s">
        <v>21</v>
      </c>
      <c r="B315" s="57" t="s">
        <v>26</v>
      </c>
      <c r="C315" s="58">
        <v>905</v>
      </c>
      <c r="D315" s="83" t="s">
        <v>200</v>
      </c>
      <c r="E315" s="83" t="s">
        <v>315</v>
      </c>
      <c r="F315" s="58" t="s">
        <v>27</v>
      </c>
      <c r="G315" s="59"/>
      <c r="H315" s="55">
        <f>H318</f>
        <v>0</v>
      </c>
      <c r="I315" s="55">
        <f>I318</f>
        <v>588.20000000000005</v>
      </c>
      <c r="J315" s="73">
        <f>J318</f>
        <v>0</v>
      </c>
      <c r="K315" s="55">
        <f>K318</f>
        <v>611.5</v>
      </c>
      <c r="L315" s="55"/>
      <c r="M315" s="55"/>
      <c r="N315" s="55"/>
      <c r="O315" s="70">
        <f t="shared" ref="O315:X315" si="233">O318</f>
        <v>0</v>
      </c>
      <c r="P315" s="55">
        <f t="shared" si="233"/>
        <v>639</v>
      </c>
      <c r="Q315" s="70">
        <f t="shared" si="233"/>
        <v>0</v>
      </c>
      <c r="R315" s="70">
        <f t="shared" si="233"/>
        <v>0</v>
      </c>
      <c r="S315" s="70">
        <f t="shared" si="233"/>
        <v>0</v>
      </c>
      <c r="T315" s="76">
        <f t="shared" si="233"/>
        <v>0</v>
      </c>
      <c r="U315" s="55">
        <f t="shared" si="233"/>
        <v>0</v>
      </c>
      <c r="V315" s="55">
        <f t="shared" si="233"/>
        <v>0</v>
      </c>
      <c r="W315" s="55">
        <f t="shared" si="233"/>
        <v>0</v>
      </c>
      <c r="X315" s="55">
        <f t="shared" si="233"/>
        <v>709.8</v>
      </c>
      <c r="Y315" s="106">
        <f>Y318+Y316</f>
        <v>790.59999999999991</v>
      </c>
      <c r="Z315" s="46"/>
      <c r="AA315" s="81"/>
    </row>
    <row r="316" spans="1:27" ht="56.25">
      <c r="A316" s="56"/>
      <c r="B316" s="57" t="s">
        <v>664</v>
      </c>
      <c r="C316" s="58">
        <v>905</v>
      </c>
      <c r="D316" s="58" t="s">
        <v>200</v>
      </c>
      <c r="E316" s="58" t="s">
        <v>315</v>
      </c>
      <c r="F316" s="58" t="s">
        <v>665</v>
      </c>
      <c r="G316" s="59"/>
      <c r="H316" s="55"/>
      <c r="I316" s="55"/>
      <c r="J316" s="73"/>
      <c r="K316" s="55"/>
      <c r="L316" s="55"/>
      <c r="M316" s="55"/>
      <c r="N316" s="55"/>
      <c r="O316" s="70"/>
      <c r="P316" s="55"/>
      <c r="Q316" s="70"/>
      <c r="R316" s="70"/>
      <c r="S316" s="70"/>
      <c r="T316" s="76"/>
      <c r="U316" s="55"/>
      <c r="V316" s="55"/>
      <c r="W316" s="55"/>
      <c r="X316" s="55"/>
      <c r="Y316" s="106">
        <f>Y317</f>
        <v>0</v>
      </c>
      <c r="Z316" s="46"/>
      <c r="AA316" s="81"/>
    </row>
    <row r="317" spans="1:27" ht="56.25">
      <c r="A317" s="56"/>
      <c r="B317" s="57" t="s">
        <v>32</v>
      </c>
      <c r="C317" s="58">
        <v>905</v>
      </c>
      <c r="D317" s="58" t="s">
        <v>200</v>
      </c>
      <c r="E317" s="58" t="s">
        <v>315</v>
      </c>
      <c r="F317" s="58" t="s">
        <v>665</v>
      </c>
      <c r="G317" s="59" t="s">
        <v>33</v>
      </c>
      <c r="H317" s="55"/>
      <c r="I317" s="55"/>
      <c r="J317" s="73"/>
      <c r="K317" s="55"/>
      <c r="L317" s="55"/>
      <c r="M317" s="55"/>
      <c r="N317" s="55"/>
      <c r="O317" s="70"/>
      <c r="P317" s="55"/>
      <c r="Q317" s="70"/>
      <c r="R317" s="70"/>
      <c r="S317" s="70"/>
      <c r="T317" s="76"/>
      <c r="U317" s="55"/>
      <c r="V317" s="55"/>
      <c r="W317" s="55"/>
      <c r="X317" s="55"/>
      <c r="Y317" s="106">
        <v>0</v>
      </c>
      <c r="Z317" s="46"/>
      <c r="AA317" s="81"/>
    </row>
    <row r="318" spans="1:27" ht="39" customHeight="1">
      <c r="A318" s="56"/>
      <c r="B318" s="57" t="s">
        <v>316</v>
      </c>
      <c r="C318" s="58">
        <v>905</v>
      </c>
      <c r="D318" s="58" t="s">
        <v>200</v>
      </c>
      <c r="E318" s="58" t="s">
        <v>315</v>
      </c>
      <c r="F318" s="58" t="s">
        <v>662</v>
      </c>
      <c r="G318" s="59"/>
      <c r="H318" s="55">
        <f t="shared" ref="H318:K318" si="234">H319</f>
        <v>0</v>
      </c>
      <c r="I318" s="55">
        <f t="shared" si="234"/>
        <v>588.20000000000005</v>
      </c>
      <c r="J318" s="73">
        <f t="shared" si="234"/>
        <v>0</v>
      </c>
      <c r="K318" s="55">
        <f t="shared" si="234"/>
        <v>611.5</v>
      </c>
      <c r="L318" s="55"/>
      <c r="M318" s="55"/>
      <c r="N318" s="55"/>
      <c r="O318" s="70">
        <f>O319</f>
        <v>0</v>
      </c>
      <c r="P318" s="55">
        <f t="shared" ref="P318:Y318" si="235">P319</f>
        <v>639</v>
      </c>
      <c r="Q318" s="70">
        <f t="shared" si="235"/>
        <v>0</v>
      </c>
      <c r="R318" s="70">
        <f t="shared" si="235"/>
        <v>0</v>
      </c>
      <c r="S318" s="70">
        <f t="shared" si="235"/>
        <v>0</v>
      </c>
      <c r="T318" s="76">
        <f t="shared" si="235"/>
        <v>0</v>
      </c>
      <c r="U318" s="55">
        <f t="shared" si="235"/>
        <v>0</v>
      </c>
      <c r="V318" s="55">
        <f t="shared" si="235"/>
        <v>0</v>
      </c>
      <c r="W318" s="55">
        <f t="shared" si="235"/>
        <v>0</v>
      </c>
      <c r="X318" s="55">
        <f t="shared" si="235"/>
        <v>709.8</v>
      </c>
      <c r="Y318" s="106">
        <f t="shared" si="235"/>
        <v>790.59999999999991</v>
      </c>
      <c r="Z318" s="46"/>
      <c r="AA318" s="81"/>
    </row>
    <row r="319" spans="1:27" ht="57.75" customHeight="1">
      <c r="A319" s="56"/>
      <c r="B319" s="57" t="s">
        <v>32</v>
      </c>
      <c r="C319" s="58">
        <v>905</v>
      </c>
      <c r="D319" s="58" t="s">
        <v>200</v>
      </c>
      <c r="E319" s="58" t="s">
        <v>315</v>
      </c>
      <c r="F319" s="58" t="s">
        <v>662</v>
      </c>
      <c r="G319" s="59" t="s">
        <v>33</v>
      </c>
      <c r="H319" s="55"/>
      <c r="I319" s="55">
        <v>588.20000000000005</v>
      </c>
      <c r="J319" s="73"/>
      <c r="K319" s="70">
        <v>611.5</v>
      </c>
      <c r="L319" s="70"/>
      <c r="M319" s="70"/>
      <c r="N319" s="70"/>
      <c r="O319" s="70"/>
      <c r="P319" s="55">
        <v>639</v>
      </c>
      <c r="Q319" s="73"/>
      <c r="R319" s="73"/>
      <c r="S319" s="73"/>
      <c r="T319" s="77"/>
      <c r="U319" s="57"/>
      <c r="V319" s="57"/>
      <c r="W319" s="57"/>
      <c r="X319" s="57">
        <v>709.8</v>
      </c>
      <c r="Y319" s="106">
        <f>709.8+80.8</f>
        <v>790.59999999999991</v>
      </c>
      <c r="Z319" s="46"/>
      <c r="AA319" s="81"/>
    </row>
    <row r="320" spans="1:27" ht="37.5">
      <c r="A320" s="56"/>
      <c r="B320" s="62" t="s">
        <v>317</v>
      </c>
      <c r="C320" s="58">
        <v>905</v>
      </c>
      <c r="D320" s="58" t="s">
        <v>200</v>
      </c>
      <c r="E320" s="83" t="s">
        <v>315</v>
      </c>
      <c r="F320" s="58" t="s">
        <v>203</v>
      </c>
      <c r="G320" s="59"/>
      <c r="H320" s="55">
        <f>H321</f>
        <v>16224.800000000001</v>
      </c>
      <c r="I320" s="55">
        <f>I321</f>
        <v>0</v>
      </c>
      <c r="J320" s="73" t="e">
        <f>J321+#REF!</f>
        <v>#REF!</v>
      </c>
      <c r="K320" s="55" t="e">
        <f>K321+#REF!</f>
        <v>#REF!</v>
      </c>
      <c r="L320" s="55"/>
      <c r="M320" s="55"/>
      <c r="N320" s="55"/>
      <c r="O320" s="70" t="e">
        <f>#REF!+O321+O337+O341</f>
        <v>#REF!</v>
      </c>
      <c r="P320" s="55" t="e">
        <f>#REF!+P321+P337+P341</f>
        <v>#REF!</v>
      </c>
      <c r="Q320" s="70" t="e">
        <f>#REF!+Q321+Q337+Q341</f>
        <v>#REF!</v>
      </c>
      <c r="R320" s="70" t="e">
        <f>#REF!+R321+R337+R341</f>
        <v>#REF!</v>
      </c>
      <c r="S320" s="70" t="e">
        <f>#REF!+S321+S337+S341</f>
        <v>#REF!</v>
      </c>
      <c r="T320" s="76" t="e">
        <f>T321+T337+T341+#REF!</f>
        <v>#REF!</v>
      </c>
      <c r="U320" s="55" t="e">
        <f>#REF!+U321+U337+U341</f>
        <v>#REF!</v>
      </c>
      <c r="V320" s="55" t="e">
        <f>#REF!+V321+V337+V341</f>
        <v>#REF!</v>
      </c>
      <c r="W320" s="55" t="e">
        <f>#REF!+W321+W337+W341</f>
        <v>#REF!</v>
      </c>
      <c r="X320" s="55" t="e">
        <f>#REF!+X321+X337+X341</f>
        <v>#REF!</v>
      </c>
      <c r="Y320" s="106">
        <f>Y321+Y337+Y341</f>
        <v>26784.186000000002</v>
      </c>
      <c r="Z320" s="46"/>
      <c r="AA320" s="81"/>
    </row>
    <row r="321" spans="1:27" ht="37.5">
      <c r="A321" s="56" t="s">
        <v>21</v>
      </c>
      <c r="B321" s="57" t="s">
        <v>318</v>
      </c>
      <c r="C321" s="58">
        <v>905</v>
      </c>
      <c r="D321" s="58" t="s">
        <v>200</v>
      </c>
      <c r="E321" s="58" t="s">
        <v>315</v>
      </c>
      <c r="F321" s="58" t="s">
        <v>319</v>
      </c>
      <c r="G321" s="59" t="s">
        <v>21</v>
      </c>
      <c r="H321" s="55">
        <f>H322+H327+H332</f>
        <v>16224.800000000001</v>
      </c>
      <c r="I321" s="55">
        <f>I322+I327+I332</f>
        <v>0</v>
      </c>
      <c r="J321" s="73">
        <f>J322+J327+J332</f>
        <v>16915.500000000004</v>
      </c>
      <c r="K321" s="55">
        <f>K322+K327+K332</f>
        <v>0</v>
      </c>
      <c r="L321" s="55"/>
      <c r="M321" s="55"/>
      <c r="N321" s="55"/>
      <c r="O321" s="70">
        <f>O322+O327+O332</f>
        <v>18798.899999999998</v>
      </c>
      <c r="P321" s="55">
        <f t="shared" ref="P321:T321" si="236">P322+P327+P332</f>
        <v>0</v>
      </c>
      <c r="Q321" s="70">
        <f t="shared" si="236"/>
        <v>0</v>
      </c>
      <c r="R321" s="70">
        <f t="shared" si="236"/>
        <v>0</v>
      </c>
      <c r="S321" s="70">
        <f t="shared" si="236"/>
        <v>0</v>
      </c>
      <c r="T321" s="76">
        <f t="shared" si="236"/>
        <v>23125</v>
      </c>
      <c r="U321" s="55">
        <f t="shared" ref="U321:Y321" si="237">U322+U327+U332</f>
        <v>0</v>
      </c>
      <c r="V321" s="55">
        <f t="shared" si="237"/>
        <v>0</v>
      </c>
      <c r="W321" s="55">
        <f t="shared" si="237"/>
        <v>0</v>
      </c>
      <c r="X321" s="55">
        <f t="shared" si="237"/>
        <v>0</v>
      </c>
      <c r="Y321" s="106">
        <f t="shared" si="237"/>
        <v>24566.286</v>
      </c>
      <c r="Z321" s="46"/>
      <c r="AA321" s="81"/>
    </row>
    <row r="322" spans="1:27" ht="43.5" customHeight="1">
      <c r="A322" s="56" t="s">
        <v>21</v>
      </c>
      <c r="B322" s="57" t="s">
        <v>320</v>
      </c>
      <c r="C322" s="58">
        <v>905</v>
      </c>
      <c r="D322" s="58" t="s">
        <v>200</v>
      </c>
      <c r="E322" s="58" t="s">
        <v>315</v>
      </c>
      <c r="F322" s="58" t="s">
        <v>321</v>
      </c>
      <c r="G322" s="59"/>
      <c r="H322" s="55">
        <f>H323</f>
        <v>5558.4</v>
      </c>
      <c r="I322" s="55">
        <f>I323</f>
        <v>0</v>
      </c>
      <c r="J322" s="73">
        <f>J323</f>
        <v>4870.8</v>
      </c>
      <c r="K322" s="55">
        <f>K323</f>
        <v>0</v>
      </c>
      <c r="L322" s="55"/>
      <c r="M322" s="55"/>
      <c r="N322" s="55"/>
      <c r="O322" s="70">
        <f t="shared" ref="O322:Y322" si="238">O323</f>
        <v>5483.9</v>
      </c>
      <c r="P322" s="55">
        <f t="shared" si="238"/>
        <v>0</v>
      </c>
      <c r="Q322" s="70">
        <f t="shared" si="238"/>
        <v>0</v>
      </c>
      <c r="R322" s="70">
        <f t="shared" si="238"/>
        <v>0</v>
      </c>
      <c r="S322" s="70">
        <f t="shared" si="238"/>
        <v>0</v>
      </c>
      <c r="T322" s="76">
        <f t="shared" si="238"/>
        <v>5887.4000000000005</v>
      </c>
      <c r="U322" s="55">
        <f t="shared" si="238"/>
        <v>0</v>
      </c>
      <c r="V322" s="55">
        <f t="shared" si="238"/>
        <v>0</v>
      </c>
      <c r="W322" s="55">
        <f t="shared" si="238"/>
        <v>0</v>
      </c>
      <c r="X322" s="55">
        <f t="shared" si="238"/>
        <v>0</v>
      </c>
      <c r="Y322" s="106">
        <f t="shared" si="238"/>
        <v>6626.6250000000009</v>
      </c>
      <c r="Z322" s="46"/>
      <c r="AA322" s="81"/>
    </row>
    <row r="323" spans="1:27">
      <c r="A323" s="56" t="s">
        <v>21</v>
      </c>
      <c r="B323" s="57" t="s">
        <v>146</v>
      </c>
      <c r="C323" s="58">
        <v>905</v>
      </c>
      <c r="D323" s="58" t="s">
        <v>200</v>
      </c>
      <c r="E323" s="58" t="s">
        <v>315</v>
      </c>
      <c r="F323" s="58" t="s">
        <v>322</v>
      </c>
      <c r="G323" s="59" t="s">
        <v>21</v>
      </c>
      <c r="H323" s="55">
        <f>H324+H325+H326</f>
        <v>5558.4</v>
      </c>
      <c r="I323" s="55">
        <f>I324+I325+I326</f>
        <v>0</v>
      </c>
      <c r="J323" s="73">
        <f>J324+J325+J326</f>
        <v>4870.8</v>
      </c>
      <c r="K323" s="55">
        <f>K324+K325+K326</f>
        <v>0</v>
      </c>
      <c r="L323" s="55"/>
      <c r="M323" s="55"/>
      <c r="N323" s="55"/>
      <c r="O323" s="70">
        <f t="shared" ref="O323:T323" si="239">O324+O325+O326</f>
        <v>5483.9</v>
      </c>
      <c r="P323" s="55">
        <f t="shared" si="239"/>
        <v>0</v>
      </c>
      <c r="Q323" s="70">
        <f t="shared" si="239"/>
        <v>0</v>
      </c>
      <c r="R323" s="70">
        <f t="shared" si="239"/>
        <v>0</v>
      </c>
      <c r="S323" s="70">
        <f t="shared" si="239"/>
        <v>0</v>
      </c>
      <c r="T323" s="76">
        <f t="shared" si="239"/>
        <v>5887.4000000000005</v>
      </c>
      <c r="U323" s="55">
        <f t="shared" ref="U323:Y323" si="240">U324+U325+U326</f>
        <v>0</v>
      </c>
      <c r="V323" s="55">
        <f t="shared" si="240"/>
        <v>0</v>
      </c>
      <c r="W323" s="55">
        <f t="shared" si="240"/>
        <v>0</v>
      </c>
      <c r="X323" s="55">
        <f t="shared" si="240"/>
        <v>0</v>
      </c>
      <c r="Y323" s="106">
        <f t="shared" si="240"/>
        <v>6626.6250000000009</v>
      </c>
      <c r="Z323" s="46"/>
      <c r="AA323" s="81"/>
    </row>
    <row r="324" spans="1:27" ht="60" customHeight="1">
      <c r="A324" s="56" t="s">
        <v>21</v>
      </c>
      <c r="B324" s="57" t="s">
        <v>32</v>
      </c>
      <c r="C324" s="58">
        <v>905</v>
      </c>
      <c r="D324" s="58" t="s">
        <v>200</v>
      </c>
      <c r="E324" s="58" t="s">
        <v>315</v>
      </c>
      <c r="F324" s="58" t="s">
        <v>322</v>
      </c>
      <c r="G324" s="59" t="s">
        <v>33</v>
      </c>
      <c r="H324" s="55">
        <v>4775.8999999999996</v>
      </c>
      <c r="I324" s="55"/>
      <c r="J324" s="73">
        <f>3149.9+951.3</f>
        <v>4101.2</v>
      </c>
      <c r="K324" s="70"/>
      <c r="L324" s="70"/>
      <c r="M324" s="70"/>
      <c r="N324" s="70"/>
      <c r="O324" s="65">
        <v>4485.5</v>
      </c>
      <c r="P324" s="55">
        <v>0</v>
      </c>
      <c r="Q324" s="73"/>
      <c r="R324" s="73"/>
      <c r="S324" s="73"/>
      <c r="T324" s="77">
        <f>4793.3</f>
        <v>4793.3</v>
      </c>
      <c r="U324" s="57"/>
      <c r="V324" s="57"/>
      <c r="W324" s="57"/>
      <c r="X324" s="57"/>
      <c r="Y324" s="106">
        <v>5344.7250000000004</v>
      </c>
      <c r="Z324" s="46"/>
      <c r="AA324" s="81"/>
    </row>
    <row r="325" spans="1:27" ht="24.75" customHeight="1">
      <c r="A325" s="56"/>
      <c r="B325" s="57" t="s">
        <v>36</v>
      </c>
      <c r="C325" s="58">
        <v>905</v>
      </c>
      <c r="D325" s="58" t="s">
        <v>200</v>
      </c>
      <c r="E325" s="58" t="s">
        <v>315</v>
      </c>
      <c r="F325" s="58" t="s">
        <v>322</v>
      </c>
      <c r="G325" s="59" t="s">
        <v>37</v>
      </c>
      <c r="H325" s="55">
        <v>756.4</v>
      </c>
      <c r="I325" s="55"/>
      <c r="J325" s="73">
        <f>267.5+482.6</f>
        <v>750.1</v>
      </c>
      <c r="K325" s="70"/>
      <c r="L325" s="70"/>
      <c r="M325" s="70"/>
      <c r="N325" s="70"/>
      <c r="O325" s="70">
        <v>979.5</v>
      </c>
      <c r="P325" s="55">
        <v>0</v>
      </c>
      <c r="Q325" s="55">
        <v>0</v>
      </c>
      <c r="R325" s="55">
        <f>R326</f>
        <v>0</v>
      </c>
      <c r="S325" s="55">
        <f>S326</f>
        <v>0</v>
      </c>
      <c r="T325" s="77">
        <v>1075.9000000000001</v>
      </c>
      <c r="U325" s="57">
        <v>0</v>
      </c>
      <c r="V325" s="57"/>
      <c r="W325" s="57"/>
      <c r="X325" s="57"/>
      <c r="Y325" s="106">
        <v>1262.0999999999999</v>
      </c>
      <c r="Z325" s="46"/>
      <c r="AA325" s="81"/>
    </row>
    <row r="326" spans="1:27">
      <c r="A326" s="56"/>
      <c r="B326" s="57" t="s">
        <v>38</v>
      </c>
      <c r="C326" s="58">
        <v>905</v>
      </c>
      <c r="D326" s="58" t="s">
        <v>200</v>
      </c>
      <c r="E326" s="58" t="s">
        <v>315</v>
      </c>
      <c r="F326" s="58" t="s">
        <v>322</v>
      </c>
      <c r="G326" s="59" t="s">
        <v>39</v>
      </c>
      <c r="H326" s="55">
        <v>26.1</v>
      </c>
      <c r="I326" s="55"/>
      <c r="J326" s="73">
        <v>19.5</v>
      </c>
      <c r="K326" s="70"/>
      <c r="L326" s="70"/>
      <c r="M326" s="70"/>
      <c r="N326" s="70"/>
      <c r="O326" s="70">
        <v>18.899999999999999</v>
      </c>
      <c r="P326" s="55"/>
      <c r="Q326" s="73"/>
      <c r="R326" s="73"/>
      <c r="S326" s="73"/>
      <c r="T326" s="77">
        <v>18.2</v>
      </c>
      <c r="U326" s="57"/>
      <c r="V326" s="57"/>
      <c r="W326" s="57"/>
      <c r="X326" s="57"/>
      <c r="Y326" s="106">
        <v>19.8</v>
      </c>
      <c r="Z326" s="46"/>
      <c r="AA326" s="81"/>
    </row>
    <row r="327" spans="1:27" ht="62.25" customHeight="1">
      <c r="A327" s="56"/>
      <c r="B327" s="57" t="s">
        <v>323</v>
      </c>
      <c r="C327" s="58">
        <v>905</v>
      </c>
      <c r="D327" s="83" t="s">
        <v>200</v>
      </c>
      <c r="E327" s="83" t="s">
        <v>315</v>
      </c>
      <c r="F327" s="58" t="s">
        <v>324</v>
      </c>
      <c r="G327" s="59"/>
      <c r="H327" s="55">
        <f>H328</f>
        <v>9122.8000000000011</v>
      </c>
      <c r="I327" s="55">
        <f>I328</f>
        <v>0</v>
      </c>
      <c r="J327" s="73">
        <f>J328</f>
        <v>9697.8000000000011</v>
      </c>
      <c r="K327" s="55">
        <f>K328</f>
        <v>0</v>
      </c>
      <c r="L327" s="55"/>
      <c r="M327" s="55"/>
      <c r="N327" s="55"/>
      <c r="O327" s="70">
        <f t="shared" ref="O327:Y327" si="241">O328</f>
        <v>10332.4</v>
      </c>
      <c r="P327" s="55">
        <f t="shared" si="241"/>
        <v>0</v>
      </c>
      <c r="Q327" s="70">
        <f t="shared" si="241"/>
        <v>0</v>
      </c>
      <c r="R327" s="70">
        <f t="shared" si="241"/>
        <v>0</v>
      </c>
      <c r="S327" s="70">
        <f t="shared" si="241"/>
        <v>0</v>
      </c>
      <c r="T327" s="76">
        <f t="shared" si="241"/>
        <v>12951.3</v>
      </c>
      <c r="U327" s="55">
        <f t="shared" si="241"/>
        <v>0</v>
      </c>
      <c r="V327" s="55">
        <f t="shared" si="241"/>
        <v>0</v>
      </c>
      <c r="W327" s="55">
        <f t="shared" si="241"/>
        <v>0</v>
      </c>
      <c r="X327" s="55">
        <f t="shared" si="241"/>
        <v>0</v>
      </c>
      <c r="Y327" s="106">
        <f t="shared" si="241"/>
        <v>13931.252999999999</v>
      </c>
      <c r="Z327" s="46"/>
      <c r="AA327" s="81"/>
    </row>
    <row r="328" spans="1:27" ht="20.25" customHeight="1">
      <c r="A328" s="56"/>
      <c r="B328" s="57" t="s">
        <v>325</v>
      </c>
      <c r="C328" s="58">
        <v>905</v>
      </c>
      <c r="D328" s="83" t="s">
        <v>200</v>
      </c>
      <c r="E328" s="83" t="s">
        <v>315</v>
      </c>
      <c r="F328" s="58" t="s">
        <v>326</v>
      </c>
      <c r="G328" s="59"/>
      <c r="H328" s="55">
        <f>H329+H330+H331</f>
        <v>9122.8000000000011</v>
      </c>
      <c r="I328" s="55">
        <f>I329+I330+I331</f>
        <v>0</v>
      </c>
      <c r="J328" s="73">
        <f>J329+J330+J331</f>
        <v>9697.8000000000011</v>
      </c>
      <c r="K328" s="55">
        <f>K329+K330+K331</f>
        <v>0</v>
      </c>
      <c r="L328" s="55"/>
      <c r="M328" s="55"/>
      <c r="N328" s="55"/>
      <c r="O328" s="70">
        <f t="shared" ref="O328:T328" si="242">O329+O330+O331</f>
        <v>10332.4</v>
      </c>
      <c r="P328" s="55">
        <f t="shared" si="242"/>
        <v>0</v>
      </c>
      <c r="Q328" s="70">
        <f t="shared" si="242"/>
        <v>0</v>
      </c>
      <c r="R328" s="70">
        <f t="shared" si="242"/>
        <v>0</v>
      </c>
      <c r="S328" s="70">
        <f t="shared" si="242"/>
        <v>0</v>
      </c>
      <c r="T328" s="76">
        <f t="shared" si="242"/>
        <v>12951.3</v>
      </c>
      <c r="U328" s="55">
        <f t="shared" ref="U328:Y328" si="243">U329+U330+U331</f>
        <v>0</v>
      </c>
      <c r="V328" s="55">
        <f t="shared" si="243"/>
        <v>0</v>
      </c>
      <c r="W328" s="55">
        <f t="shared" si="243"/>
        <v>0</v>
      </c>
      <c r="X328" s="55">
        <f t="shared" si="243"/>
        <v>0</v>
      </c>
      <c r="Y328" s="106">
        <f t="shared" si="243"/>
        <v>13931.252999999999</v>
      </c>
      <c r="Z328" s="46"/>
      <c r="AA328" s="81"/>
    </row>
    <row r="329" spans="1:27" ht="62.25" customHeight="1">
      <c r="A329" s="56"/>
      <c r="B329" s="57" t="s">
        <v>32</v>
      </c>
      <c r="C329" s="58">
        <v>905</v>
      </c>
      <c r="D329" s="83" t="s">
        <v>200</v>
      </c>
      <c r="E329" s="83" t="s">
        <v>315</v>
      </c>
      <c r="F329" s="58" t="s">
        <v>326</v>
      </c>
      <c r="G329" s="59">
        <v>100</v>
      </c>
      <c r="H329" s="55">
        <v>8546.1</v>
      </c>
      <c r="I329" s="55"/>
      <c r="J329" s="73">
        <f>6827.1+2061.8</f>
        <v>8888.9000000000015</v>
      </c>
      <c r="K329" s="70"/>
      <c r="L329" s="70"/>
      <c r="M329" s="70"/>
      <c r="N329" s="70"/>
      <c r="O329" s="70">
        <v>9292.7999999999993</v>
      </c>
      <c r="P329" s="55"/>
      <c r="Q329" s="73"/>
      <c r="R329" s="73"/>
      <c r="S329" s="73"/>
      <c r="T329" s="77">
        <v>11849.9</v>
      </c>
      <c r="U329" s="57"/>
      <c r="V329" s="57"/>
      <c r="W329" s="57"/>
      <c r="X329" s="57"/>
      <c r="Y329" s="106">
        <v>12710.3</v>
      </c>
      <c r="Z329" s="46"/>
      <c r="AA329" s="81"/>
    </row>
    <row r="330" spans="1:27" ht="23.25" customHeight="1">
      <c r="A330" s="56"/>
      <c r="B330" s="57" t="s">
        <v>36</v>
      </c>
      <c r="C330" s="58">
        <v>905</v>
      </c>
      <c r="D330" s="83" t="s">
        <v>200</v>
      </c>
      <c r="E330" s="83" t="s">
        <v>315</v>
      </c>
      <c r="F330" s="58" t="s">
        <v>326</v>
      </c>
      <c r="G330" s="59">
        <v>200</v>
      </c>
      <c r="H330" s="55">
        <v>575.70000000000005</v>
      </c>
      <c r="I330" s="55"/>
      <c r="J330" s="73">
        <f>8.5+799.5</f>
        <v>808</v>
      </c>
      <c r="K330" s="70">
        <v>0</v>
      </c>
      <c r="L330" s="70"/>
      <c r="M330" s="70"/>
      <c r="N330" s="70"/>
      <c r="O330" s="70">
        <v>1038.5999999999999</v>
      </c>
      <c r="P330" s="55">
        <v>0</v>
      </c>
      <c r="Q330" s="73"/>
      <c r="R330" s="73"/>
      <c r="S330" s="73"/>
      <c r="T330" s="77">
        <v>1100.9000000000001</v>
      </c>
      <c r="U330" s="55">
        <v>0</v>
      </c>
      <c r="V330" s="55">
        <v>0</v>
      </c>
      <c r="W330" s="57"/>
      <c r="X330" s="57"/>
      <c r="Y330" s="106">
        <v>1220.953</v>
      </c>
      <c r="Z330" s="46"/>
      <c r="AA330" s="81"/>
    </row>
    <row r="331" spans="1:27" hidden="1">
      <c r="A331" s="56"/>
      <c r="B331" s="57" t="s">
        <v>38</v>
      </c>
      <c r="C331" s="58">
        <v>905</v>
      </c>
      <c r="D331" s="83" t="s">
        <v>200</v>
      </c>
      <c r="E331" s="83" t="s">
        <v>315</v>
      </c>
      <c r="F331" s="58" t="s">
        <v>326</v>
      </c>
      <c r="G331" s="59">
        <v>800</v>
      </c>
      <c r="H331" s="55">
        <v>1</v>
      </c>
      <c r="I331" s="55"/>
      <c r="J331" s="73">
        <v>0.9</v>
      </c>
      <c r="K331" s="70"/>
      <c r="L331" s="70"/>
      <c r="M331" s="70"/>
      <c r="N331" s="70"/>
      <c r="O331" s="70">
        <v>1</v>
      </c>
      <c r="P331" s="55"/>
      <c r="Q331" s="73"/>
      <c r="R331" s="73"/>
      <c r="S331" s="73"/>
      <c r="T331" s="77">
        <v>0.5</v>
      </c>
      <c r="U331" s="57"/>
      <c r="V331" s="57"/>
      <c r="W331" s="57"/>
      <c r="X331" s="57"/>
      <c r="Y331" s="106">
        <v>0</v>
      </c>
      <c r="Z331" s="46"/>
      <c r="AA331" s="81"/>
    </row>
    <row r="332" spans="1:27" ht="41.25" customHeight="1">
      <c r="A332" s="56"/>
      <c r="B332" s="57" t="s">
        <v>327</v>
      </c>
      <c r="C332" s="58">
        <v>905</v>
      </c>
      <c r="D332" s="83" t="s">
        <v>200</v>
      </c>
      <c r="E332" s="83" t="s">
        <v>315</v>
      </c>
      <c r="F332" s="58" t="s">
        <v>328</v>
      </c>
      <c r="G332" s="59"/>
      <c r="H332" s="55">
        <f>H333</f>
        <v>1543.6</v>
      </c>
      <c r="I332" s="55">
        <f>I333</f>
        <v>0</v>
      </c>
      <c r="J332" s="73">
        <f>J333</f>
        <v>2346.9</v>
      </c>
      <c r="K332" s="55">
        <f>K333</f>
        <v>0</v>
      </c>
      <c r="L332" s="55"/>
      <c r="M332" s="55"/>
      <c r="N332" s="55"/>
      <c r="O332" s="70">
        <f t="shared" ref="O332:Y332" si="244">O333</f>
        <v>2982.6</v>
      </c>
      <c r="P332" s="55">
        <f t="shared" si="244"/>
        <v>0</v>
      </c>
      <c r="Q332" s="70">
        <f t="shared" si="244"/>
        <v>0</v>
      </c>
      <c r="R332" s="70">
        <f t="shared" si="244"/>
        <v>0</v>
      </c>
      <c r="S332" s="70">
        <f t="shared" si="244"/>
        <v>0</v>
      </c>
      <c r="T332" s="76">
        <f t="shared" si="244"/>
        <v>4286.3000000000011</v>
      </c>
      <c r="U332" s="55">
        <f t="shared" si="244"/>
        <v>0</v>
      </c>
      <c r="V332" s="55">
        <f t="shared" si="244"/>
        <v>0</v>
      </c>
      <c r="W332" s="55">
        <f t="shared" si="244"/>
        <v>0</v>
      </c>
      <c r="X332" s="55">
        <f t="shared" si="244"/>
        <v>0</v>
      </c>
      <c r="Y332" s="106">
        <f t="shared" si="244"/>
        <v>4008.4079999999999</v>
      </c>
      <c r="Z332" s="46"/>
      <c r="AA332" s="81"/>
    </row>
    <row r="333" spans="1:27" ht="21.75" customHeight="1">
      <c r="A333" s="56"/>
      <c r="B333" s="57" t="s">
        <v>325</v>
      </c>
      <c r="C333" s="58">
        <v>905</v>
      </c>
      <c r="D333" s="83" t="s">
        <v>200</v>
      </c>
      <c r="E333" s="83" t="s">
        <v>315</v>
      </c>
      <c r="F333" s="58" t="s">
        <v>329</v>
      </c>
      <c r="G333" s="59"/>
      <c r="H333" s="55">
        <f>H334+H335+H336</f>
        <v>1543.6</v>
      </c>
      <c r="I333" s="55">
        <f>I334+I335+I336</f>
        <v>0</v>
      </c>
      <c r="J333" s="73">
        <f>J334+J335+J336</f>
        <v>2346.9</v>
      </c>
      <c r="K333" s="55">
        <f>K334+K335+K336</f>
        <v>0</v>
      </c>
      <c r="L333" s="55"/>
      <c r="M333" s="55"/>
      <c r="N333" s="55"/>
      <c r="O333" s="70">
        <f t="shared" ref="O333:T333" si="245">O334+O335+O336</f>
        <v>2982.6</v>
      </c>
      <c r="P333" s="55">
        <f t="shared" si="245"/>
        <v>0</v>
      </c>
      <c r="Q333" s="70">
        <f t="shared" si="245"/>
        <v>0</v>
      </c>
      <c r="R333" s="70">
        <f t="shared" si="245"/>
        <v>0</v>
      </c>
      <c r="S333" s="70">
        <f t="shared" si="245"/>
        <v>0</v>
      </c>
      <c r="T333" s="76">
        <f t="shared" si="245"/>
        <v>4286.3000000000011</v>
      </c>
      <c r="U333" s="55">
        <f t="shared" ref="U333:Y333" si="246">U334+U335+U336</f>
        <v>0</v>
      </c>
      <c r="V333" s="55">
        <f t="shared" si="246"/>
        <v>0</v>
      </c>
      <c r="W333" s="55">
        <f t="shared" si="246"/>
        <v>0</v>
      </c>
      <c r="X333" s="55">
        <f t="shared" si="246"/>
        <v>0</v>
      </c>
      <c r="Y333" s="106">
        <f t="shared" si="246"/>
        <v>4008.4079999999999</v>
      </c>
      <c r="Z333" s="46"/>
      <c r="AA333" s="81"/>
    </row>
    <row r="334" spans="1:27" ht="60" customHeight="1">
      <c r="A334" s="56"/>
      <c r="B334" s="57" t="s">
        <v>32</v>
      </c>
      <c r="C334" s="58">
        <v>905</v>
      </c>
      <c r="D334" s="83" t="s">
        <v>200</v>
      </c>
      <c r="E334" s="83" t="s">
        <v>315</v>
      </c>
      <c r="F334" s="58" t="s">
        <v>329</v>
      </c>
      <c r="G334" s="59">
        <v>100</v>
      </c>
      <c r="H334" s="55">
        <v>1476.8</v>
      </c>
      <c r="I334" s="55"/>
      <c r="J334" s="73">
        <f>1753.6+529.6</f>
        <v>2283.1999999999998</v>
      </c>
      <c r="K334" s="70"/>
      <c r="L334" s="70"/>
      <c r="M334" s="70"/>
      <c r="N334" s="70"/>
      <c r="O334" s="70">
        <v>2909.5</v>
      </c>
      <c r="P334" s="55"/>
      <c r="Q334" s="73"/>
      <c r="R334" s="73"/>
      <c r="S334" s="73"/>
      <c r="T334" s="77">
        <v>4174.6000000000004</v>
      </c>
      <c r="U334" s="57">
        <v>0</v>
      </c>
      <c r="V334" s="57"/>
      <c r="W334" s="57"/>
      <c r="X334" s="57"/>
      <c r="Y334" s="106">
        <v>3889.308</v>
      </c>
      <c r="Z334" s="46"/>
      <c r="AA334" s="81"/>
    </row>
    <row r="335" spans="1:27" ht="21" customHeight="1">
      <c r="A335" s="56" t="s">
        <v>21</v>
      </c>
      <c r="B335" s="57" t="s">
        <v>36</v>
      </c>
      <c r="C335" s="58">
        <v>905</v>
      </c>
      <c r="D335" s="83" t="s">
        <v>200</v>
      </c>
      <c r="E335" s="83" t="s">
        <v>315</v>
      </c>
      <c r="F335" s="58" t="s">
        <v>329</v>
      </c>
      <c r="G335" s="59">
        <v>200</v>
      </c>
      <c r="H335" s="55">
        <v>65.7</v>
      </c>
      <c r="I335" s="55"/>
      <c r="J335" s="73">
        <f>2.2+60.7</f>
        <v>62.900000000000006</v>
      </c>
      <c r="K335" s="70"/>
      <c r="L335" s="70"/>
      <c r="M335" s="70"/>
      <c r="N335" s="70"/>
      <c r="O335" s="70">
        <v>72.099999999999994</v>
      </c>
      <c r="P335" s="55"/>
      <c r="Q335" s="73"/>
      <c r="R335" s="73"/>
      <c r="S335" s="73"/>
      <c r="T335" s="77">
        <v>111.1</v>
      </c>
      <c r="U335" s="55">
        <v>0</v>
      </c>
      <c r="V335" s="55">
        <v>0</v>
      </c>
      <c r="W335" s="57"/>
      <c r="X335" s="57"/>
      <c r="Y335" s="106">
        <v>119.1</v>
      </c>
      <c r="Z335" s="46"/>
      <c r="AA335" s="81"/>
    </row>
    <row r="336" spans="1:27" hidden="1">
      <c r="A336" s="56" t="s">
        <v>21</v>
      </c>
      <c r="B336" s="57" t="s">
        <v>38</v>
      </c>
      <c r="C336" s="58">
        <v>905</v>
      </c>
      <c r="D336" s="83" t="s">
        <v>200</v>
      </c>
      <c r="E336" s="83" t="s">
        <v>315</v>
      </c>
      <c r="F336" s="58" t="s">
        <v>329</v>
      </c>
      <c r="G336" s="59">
        <v>800</v>
      </c>
      <c r="H336" s="55">
        <v>1.1000000000000001</v>
      </c>
      <c r="I336" s="55"/>
      <c r="J336" s="73">
        <v>0.8</v>
      </c>
      <c r="K336" s="70"/>
      <c r="L336" s="70"/>
      <c r="M336" s="70"/>
      <c r="N336" s="70"/>
      <c r="O336" s="70">
        <v>1</v>
      </c>
      <c r="P336" s="55"/>
      <c r="Q336" s="73"/>
      <c r="R336" s="73"/>
      <c r="S336" s="73"/>
      <c r="T336" s="77">
        <v>0.6</v>
      </c>
      <c r="U336" s="57"/>
      <c r="V336" s="57"/>
      <c r="W336" s="57"/>
      <c r="X336" s="57"/>
      <c r="Y336" s="106">
        <v>0</v>
      </c>
      <c r="Z336" s="46"/>
      <c r="AA336" s="81"/>
    </row>
    <row r="337" spans="1:27">
      <c r="A337" s="56"/>
      <c r="B337" s="62" t="s">
        <v>330</v>
      </c>
      <c r="C337" s="58">
        <v>905</v>
      </c>
      <c r="D337" s="83" t="s">
        <v>200</v>
      </c>
      <c r="E337" s="83" t="s">
        <v>315</v>
      </c>
      <c r="F337" s="58" t="s">
        <v>205</v>
      </c>
      <c r="G337" s="59"/>
      <c r="H337" s="55"/>
      <c r="I337" s="55"/>
      <c r="J337" s="73"/>
      <c r="K337" s="70"/>
      <c r="L337" s="70"/>
      <c r="M337" s="70"/>
      <c r="N337" s="70"/>
      <c r="O337" s="70">
        <f>O338</f>
        <v>8.4</v>
      </c>
      <c r="P337" s="55"/>
      <c r="Q337" s="73"/>
      <c r="R337" s="73"/>
      <c r="S337" s="73"/>
      <c r="T337" s="77">
        <f>T338</f>
        <v>8</v>
      </c>
      <c r="U337" s="86">
        <f t="shared" ref="U337" si="247">P337+Q337</f>
        <v>0</v>
      </c>
      <c r="V337" s="86">
        <f t="shared" ref="V337" si="248">Q337+R337</f>
        <v>0</v>
      </c>
      <c r="W337" s="86">
        <f t="shared" ref="W337" si="249">R337+S337</f>
        <v>0</v>
      </c>
      <c r="X337" s="86">
        <f t="shared" ref="X337:Y339" si="250">X338</f>
        <v>0</v>
      </c>
      <c r="Y337" s="106">
        <f t="shared" si="250"/>
        <v>8</v>
      </c>
      <c r="Z337" s="46"/>
      <c r="AA337" s="81"/>
    </row>
    <row r="338" spans="1:27">
      <c r="A338" s="56"/>
      <c r="B338" s="57" t="s">
        <v>331</v>
      </c>
      <c r="C338" s="58">
        <v>905</v>
      </c>
      <c r="D338" s="83" t="s">
        <v>200</v>
      </c>
      <c r="E338" s="83" t="s">
        <v>315</v>
      </c>
      <c r="F338" s="58" t="s">
        <v>209</v>
      </c>
      <c r="G338" s="59"/>
      <c r="H338" s="55"/>
      <c r="I338" s="55"/>
      <c r="J338" s="73"/>
      <c r="K338" s="70"/>
      <c r="L338" s="70"/>
      <c r="M338" s="70"/>
      <c r="N338" s="70"/>
      <c r="O338" s="70">
        <f>O340</f>
        <v>8.4</v>
      </c>
      <c r="P338" s="55"/>
      <c r="Q338" s="73"/>
      <c r="R338" s="73"/>
      <c r="S338" s="73"/>
      <c r="T338" s="77">
        <f>T339</f>
        <v>8</v>
      </c>
      <c r="U338" s="86">
        <f t="shared" ref="U338:W339" si="251">U339</f>
        <v>0</v>
      </c>
      <c r="V338" s="86">
        <f t="shared" si="251"/>
        <v>0</v>
      </c>
      <c r="W338" s="86">
        <f t="shared" si="251"/>
        <v>0</v>
      </c>
      <c r="X338" s="86">
        <f t="shared" si="250"/>
        <v>0</v>
      </c>
      <c r="Y338" s="106">
        <f t="shared" si="250"/>
        <v>8</v>
      </c>
      <c r="Z338" s="46"/>
      <c r="AA338" s="81"/>
    </row>
    <row r="339" spans="1:27" ht="43.5" customHeight="1">
      <c r="A339" s="56"/>
      <c r="B339" s="57" t="s">
        <v>332</v>
      </c>
      <c r="C339" s="58">
        <v>905</v>
      </c>
      <c r="D339" s="83" t="s">
        <v>200</v>
      </c>
      <c r="E339" s="83" t="s">
        <v>315</v>
      </c>
      <c r="F339" s="58" t="s">
        <v>333</v>
      </c>
      <c r="G339" s="59"/>
      <c r="H339" s="55"/>
      <c r="I339" s="55"/>
      <c r="J339" s="73"/>
      <c r="K339" s="70"/>
      <c r="L339" s="70"/>
      <c r="M339" s="70"/>
      <c r="N339" s="70"/>
      <c r="O339" s="70"/>
      <c r="P339" s="55"/>
      <c r="Q339" s="73"/>
      <c r="R339" s="73"/>
      <c r="S339" s="73"/>
      <c r="T339" s="77">
        <f>T340</f>
        <v>8</v>
      </c>
      <c r="U339" s="86">
        <f t="shared" si="251"/>
        <v>0</v>
      </c>
      <c r="V339" s="86">
        <f t="shared" si="251"/>
        <v>0</v>
      </c>
      <c r="W339" s="86">
        <f t="shared" si="251"/>
        <v>0</v>
      </c>
      <c r="X339" s="86">
        <f t="shared" si="250"/>
        <v>0</v>
      </c>
      <c r="Y339" s="106">
        <f t="shared" si="250"/>
        <v>8</v>
      </c>
      <c r="Z339" s="46"/>
      <c r="AA339" s="81"/>
    </row>
    <row r="340" spans="1:27" ht="25.5" customHeight="1">
      <c r="A340" s="56"/>
      <c r="B340" s="57" t="s">
        <v>36</v>
      </c>
      <c r="C340" s="58">
        <v>905</v>
      </c>
      <c r="D340" s="83" t="s">
        <v>200</v>
      </c>
      <c r="E340" s="83" t="s">
        <v>315</v>
      </c>
      <c r="F340" s="58" t="s">
        <v>333</v>
      </c>
      <c r="G340" s="59">
        <v>200</v>
      </c>
      <c r="H340" s="55"/>
      <c r="I340" s="55"/>
      <c r="J340" s="73"/>
      <c r="K340" s="70"/>
      <c r="L340" s="70"/>
      <c r="M340" s="70"/>
      <c r="N340" s="70"/>
      <c r="O340" s="70">
        <v>8.4</v>
      </c>
      <c r="P340" s="55"/>
      <c r="Q340" s="73"/>
      <c r="R340" s="73"/>
      <c r="S340" s="73"/>
      <c r="T340" s="77">
        <v>8</v>
      </c>
      <c r="U340" s="57"/>
      <c r="V340" s="57"/>
      <c r="W340" s="57"/>
      <c r="X340" s="57"/>
      <c r="Y340" s="106">
        <f>T340+U340+V340+W340+X340</f>
        <v>8</v>
      </c>
      <c r="Z340" s="46"/>
      <c r="AA340" s="81"/>
    </row>
    <row r="341" spans="1:27">
      <c r="A341" s="56"/>
      <c r="B341" s="57" t="s">
        <v>231</v>
      </c>
      <c r="C341" s="58">
        <v>905</v>
      </c>
      <c r="D341" s="83" t="s">
        <v>200</v>
      </c>
      <c r="E341" s="83" t="s">
        <v>315</v>
      </c>
      <c r="F341" s="58" t="s">
        <v>232</v>
      </c>
      <c r="G341" s="59"/>
      <c r="H341" s="55"/>
      <c r="I341" s="55"/>
      <c r="J341" s="73"/>
      <c r="K341" s="70"/>
      <c r="L341" s="70"/>
      <c r="M341" s="70"/>
      <c r="N341" s="70"/>
      <c r="O341" s="70">
        <f>O342</f>
        <v>180</v>
      </c>
      <c r="P341" s="55"/>
      <c r="Q341" s="73"/>
      <c r="R341" s="73"/>
      <c r="S341" s="73"/>
      <c r="T341" s="77">
        <f t="shared" ref="T341:Y341" si="252">T342</f>
        <v>733.8</v>
      </c>
      <c r="U341" s="86">
        <f t="shared" si="252"/>
        <v>0</v>
      </c>
      <c r="V341" s="86">
        <f t="shared" si="252"/>
        <v>0</v>
      </c>
      <c r="W341" s="86">
        <f t="shared" si="252"/>
        <v>0</v>
      </c>
      <c r="X341" s="86">
        <f t="shared" si="252"/>
        <v>1282.8</v>
      </c>
      <c r="Y341" s="106">
        <f t="shared" si="252"/>
        <v>2209.8999999999996</v>
      </c>
      <c r="Z341" s="46"/>
      <c r="AA341" s="81"/>
    </row>
    <row r="342" spans="1:27">
      <c r="A342" s="56"/>
      <c r="B342" s="57" t="s">
        <v>235</v>
      </c>
      <c r="C342" s="58">
        <v>905</v>
      </c>
      <c r="D342" s="83" t="s">
        <v>200</v>
      </c>
      <c r="E342" s="83" t="s">
        <v>315</v>
      </c>
      <c r="F342" s="58" t="s">
        <v>236</v>
      </c>
      <c r="G342" s="59"/>
      <c r="H342" s="55"/>
      <c r="I342" s="55"/>
      <c r="J342" s="73"/>
      <c r="K342" s="70"/>
      <c r="L342" s="70"/>
      <c r="M342" s="70"/>
      <c r="N342" s="70"/>
      <c r="O342" s="70">
        <f>O345+O347+O353</f>
        <v>180</v>
      </c>
      <c r="P342" s="70">
        <f t="shared" ref="P342:S342" si="253">P345+P347+P353</f>
        <v>0</v>
      </c>
      <c r="Q342" s="70">
        <f t="shared" si="253"/>
        <v>0</v>
      </c>
      <c r="R342" s="70">
        <f t="shared" si="253"/>
        <v>0</v>
      </c>
      <c r="S342" s="70">
        <f t="shared" si="253"/>
        <v>0</v>
      </c>
      <c r="T342" s="76">
        <f>T343+T345+T347+T353+T349+T351</f>
        <v>733.8</v>
      </c>
      <c r="U342" s="55">
        <f t="shared" ref="U342:X342" si="254">U345+U347+U353+U349+U351</f>
        <v>0</v>
      </c>
      <c r="V342" s="55">
        <f t="shared" si="254"/>
        <v>0</v>
      </c>
      <c r="W342" s="55">
        <f t="shared" si="254"/>
        <v>0</v>
      </c>
      <c r="X342" s="55">
        <f t="shared" si="254"/>
        <v>1282.8</v>
      </c>
      <c r="Y342" s="106">
        <f>Y343+Y345+Y347+Y353+Y349+Y351</f>
        <v>2209.8999999999996</v>
      </c>
      <c r="Z342" s="46"/>
      <c r="AA342" s="81"/>
    </row>
    <row r="343" spans="1:27" ht="21" customHeight="1">
      <c r="A343" s="56"/>
      <c r="B343" s="57" t="s">
        <v>334</v>
      </c>
      <c r="C343" s="58">
        <v>905</v>
      </c>
      <c r="D343" s="83" t="s">
        <v>200</v>
      </c>
      <c r="E343" s="83" t="s">
        <v>315</v>
      </c>
      <c r="F343" s="58" t="s">
        <v>335</v>
      </c>
      <c r="G343" s="59"/>
      <c r="H343" s="55"/>
      <c r="I343" s="55"/>
      <c r="J343" s="73"/>
      <c r="K343" s="70"/>
      <c r="L343" s="70"/>
      <c r="M343" s="70"/>
      <c r="N343" s="70"/>
      <c r="O343" s="70"/>
      <c r="P343" s="55"/>
      <c r="Q343" s="73"/>
      <c r="R343" s="73"/>
      <c r="S343" s="73"/>
      <c r="T343" s="77">
        <f t="shared" ref="T343:Y343" si="255">T344</f>
        <v>96.1</v>
      </c>
      <c r="U343" s="57">
        <f t="shared" si="255"/>
        <v>0</v>
      </c>
      <c r="V343" s="55">
        <f t="shared" si="255"/>
        <v>0</v>
      </c>
      <c r="W343" s="57">
        <f t="shared" si="255"/>
        <v>0</v>
      </c>
      <c r="X343" s="57">
        <f t="shared" si="255"/>
        <v>0</v>
      </c>
      <c r="Y343" s="106">
        <f t="shared" si="255"/>
        <v>60.88</v>
      </c>
      <c r="Z343" s="46"/>
      <c r="AA343" s="81"/>
    </row>
    <row r="344" spans="1:27" ht="21.75" customHeight="1">
      <c r="A344" s="56"/>
      <c r="B344" s="57" t="s">
        <v>36</v>
      </c>
      <c r="C344" s="58">
        <v>905</v>
      </c>
      <c r="D344" s="83" t="s">
        <v>200</v>
      </c>
      <c r="E344" s="83" t="s">
        <v>315</v>
      </c>
      <c r="F344" s="58" t="s">
        <v>335</v>
      </c>
      <c r="G344" s="59">
        <v>200</v>
      </c>
      <c r="H344" s="55"/>
      <c r="I344" s="55"/>
      <c r="J344" s="73"/>
      <c r="K344" s="70"/>
      <c r="L344" s="70"/>
      <c r="M344" s="70"/>
      <c r="N344" s="70"/>
      <c r="O344" s="70"/>
      <c r="P344" s="55"/>
      <c r="Q344" s="73"/>
      <c r="R344" s="73"/>
      <c r="S344" s="73"/>
      <c r="T344" s="77">
        <v>96.1</v>
      </c>
      <c r="U344" s="57"/>
      <c r="V344" s="55">
        <v>0</v>
      </c>
      <c r="W344" s="57"/>
      <c r="X344" s="57"/>
      <c r="Y344" s="106">
        <v>60.88</v>
      </c>
      <c r="Z344" s="46"/>
      <c r="AA344" s="81"/>
    </row>
    <row r="345" spans="1:27" ht="63" customHeight="1">
      <c r="A345" s="56"/>
      <c r="B345" s="57" t="s">
        <v>336</v>
      </c>
      <c r="C345" s="58">
        <v>905</v>
      </c>
      <c r="D345" s="83" t="s">
        <v>200</v>
      </c>
      <c r="E345" s="83" t="s">
        <v>315</v>
      </c>
      <c r="F345" s="58" t="s">
        <v>337</v>
      </c>
      <c r="G345" s="59"/>
      <c r="H345" s="55"/>
      <c r="I345" s="55"/>
      <c r="J345" s="73"/>
      <c r="K345" s="70"/>
      <c r="L345" s="70"/>
      <c r="M345" s="70"/>
      <c r="N345" s="70"/>
      <c r="O345" s="70">
        <f>O346</f>
        <v>64.599999999999994</v>
      </c>
      <c r="P345" s="70">
        <f t="shared" ref="P345:Y345" si="256">P346</f>
        <v>0</v>
      </c>
      <c r="Q345" s="70">
        <f t="shared" si="256"/>
        <v>0</v>
      </c>
      <c r="R345" s="70">
        <f t="shared" si="256"/>
        <v>0</v>
      </c>
      <c r="S345" s="70">
        <f t="shared" si="256"/>
        <v>0</v>
      </c>
      <c r="T345" s="76">
        <f t="shared" si="256"/>
        <v>181.5</v>
      </c>
      <c r="U345" s="55">
        <f t="shared" si="256"/>
        <v>0</v>
      </c>
      <c r="V345" s="55">
        <f t="shared" si="256"/>
        <v>0</v>
      </c>
      <c r="W345" s="55">
        <f t="shared" si="256"/>
        <v>0</v>
      </c>
      <c r="X345" s="55">
        <f t="shared" si="256"/>
        <v>0</v>
      </c>
      <c r="Y345" s="106">
        <f t="shared" si="256"/>
        <v>101.405</v>
      </c>
      <c r="Z345" s="46"/>
      <c r="AA345" s="81"/>
    </row>
    <row r="346" spans="1:27" ht="23.25" customHeight="1">
      <c r="A346" s="56"/>
      <c r="B346" s="57" t="s">
        <v>36</v>
      </c>
      <c r="C346" s="58">
        <v>905</v>
      </c>
      <c r="D346" s="83" t="s">
        <v>200</v>
      </c>
      <c r="E346" s="83" t="s">
        <v>315</v>
      </c>
      <c r="F346" s="58" t="s">
        <v>337</v>
      </c>
      <c r="G346" s="59">
        <v>200</v>
      </c>
      <c r="H346" s="55"/>
      <c r="I346" s="55"/>
      <c r="J346" s="73"/>
      <c r="K346" s="70"/>
      <c r="L346" s="70"/>
      <c r="M346" s="70"/>
      <c r="N346" s="70"/>
      <c r="O346" s="70">
        <v>64.599999999999994</v>
      </c>
      <c r="P346" s="55"/>
      <c r="Q346" s="73"/>
      <c r="R346" s="73"/>
      <c r="S346" s="73"/>
      <c r="T346" s="77">
        <v>181.5</v>
      </c>
      <c r="U346" s="57"/>
      <c r="V346" s="55">
        <v>0</v>
      </c>
      <c r="W346" s="57"/>
      <c r="X346" s="57"/>
      <c r="Y346" s="106">
        <v>101.405</v>
      </c>
      <c r="Z346" s="46"/>
      <c r="AA346" s="81"/>
    </row>
    <row r="347" spans="1:27" ht="37.5" customHeight="1">
      <c r="A347" s="56"/>
      <c r="B347" s="57" t="s">
        <v>338</v>
      </c>
      <c r="C347" s="58">
        <v>905</v>
      </c>
      <c r="D347" s="83" t="s">
        <v>200</v>
      </c>
      <c r="E347" s="83" t="s">
        <v>315</v>
      </c>
      <c r="F347" s="58" t="s">
        <v>339</v>
      </c>
      <c r="G347" s="59"/>
      <c r="H347" s="55"/>
      <c r="I347" s="55"/>
      <c r="J347" s="73"/>
      <c r="K347" s="70"/>
      <c r="L347" s="70"/>
      <c r="M347" s="70"/>
      <c r="N347" s="70"/>
      <c r="O347" s="70">
        <f>O348</f>
        <v>102</v>
      </c>
      <c r="P347" s="70">
        <f t="shared" ref="P347:Y347" si="257">P348</f>
        <v>0</v>
      </c>
      <c r="Q347" s="70">
        <f t="shared" si="257"/>
        <v>0</v>
      </c>
      <c r="R347" s="70">
        <f t="shared" si="257"/>
        <v>0</v>
      </c>
      <c r="S347" s="70">
        <f t="shared" si="257"/>
        <v>0</v>
      </c>
      <c r="T347" s="76">
        <f t="shared" si="257"/>
        <v>105</v>
      </c>
      <c r="U347" s="55">
        <f t="shared" si="257"/>
        <v>0</v>
      </c>
      <c r="V347" s="55">
        <f t="shared" si="257"/>
        <v>0</v>
      </c>
      <c r="W347" s="55">
        <f t="shared" si="257"/>
        <v>0</v>
      </c>
      <c r="X347" s="55">
        <f t="shared" si="257"/>
        <v>0</v>
      </c>
      <c r="Y347" s="106">
        <f t="shared" si="257"/>
        <v>105</v>
      </c>
      <c r="Z347" s="46"/>
      <c r="AA347" s="81"/>
    </row>
    <row r="348" spans="1:27">
      <c r="A348" s="56"/>
      <c r="B348" s="57" t="s">
        <v>45</v>
      </c>
      <c r="C348" s="58">
        <v>905</v>
      </c>
      <c r="D348" s="83" t="s">
        <v>200</v>
      </c>
      <c r="E348" s="83" t="s">
        <v>315</v>
      </c>
      <c r="F348" s="58" t="s">
        <v>339</v>
      </c>
      <c r="G348" s="59">
        <v>300</v>
      </c>
      <c r="H348" s="55"/>
      <c r="I348" s="55"/>
      <c r="J348" s="73"/>
      <c r="K348" s="70"/>
      <c r="L348" s="70"/>
      <c r="M348" s="70"/>
      <c r="N348" s="70"/>
      <c r="O348" s="70">
        <v>102</v>
      </c>
      <c r="P348" s="55"/>
      <c r="Q348" s="73"/>
      <c r="R348" s="73"/>
      <c r="S348" s="73"/>
      <c r="T348" s="77">
        <v>105</v>
      </c>
      <c r="U348" s="57"/>
      <c r="V348" s="57"/>
      <c r="W348" s="57"/>
      <c r="X348" s="57"/>
      <c r="Y348" s="106">
        <f>T348+U348+V348+W348+X348</f>
        <v>105</v>
      </c>
      <c r="Z348" s="46"/>
      <c r="AA348" s="81"/>
    </row>
    <row r="349" spans="1:27" ht="43.5" customHeight="1">
      <c r="A349" s="56"/>
      <c r="B349" s="57" t="s">
        <v>340</v>
      </c>
      <c r="C349" s="58">
        <v>905</v>
      </c>
      <c r="D349" s="83" t="s">
        <v>200</v>
      </c>
      <c r="E349" s="83" t="s">
        <v>315</v>
      </c>
      <c r="F349" s="58" t="s">
        <v>341</v>
      </c>
      <c r="G349" s="59"/>
      <c r="H349" s="55"/>
      <c r="I349" s="55"/>
      <c r="J349" s="73"/>
      <c r="K349" s="70"/>
      <c r="L349" s="70"/>
      <c r="M349" s="70"/>
      <c r="N349" s="70"/>
      <c r="O349" s="70"/>
      <c r="P349" s="55"/>
      <c r="Q349" s="73"/>
      <c r="R349" s="73"/>
      <c r="S349" s="73"/>
      <c r="T349" s="77">
        <f t="shared" ref="T349:Y349" si="258">T350</f>
        <v>335.2</v>
      </c>
      <c r="U349" s="55">
        <f t="shared" si="258"/>
        <v>0</v>
      </c>
      <c r="V349" s="57">
        <f t="shared" si="258"/>
        <v>0</v>
      </c>
      <c r="W349" s="57">
        <f t="shared" si="258"/>
        <v>0</v>
      </c>
      <c r="X349" s="57">
        <f t="shared" si="258"/>
        <v>0</v>
      </c>
      <c r="Y349" s="106">
        <f t="shared" si="258"/>
        <v>343</v>
      </c>
      <c r="Z349" s="46"/>
      <c r="AA349" s="81"/>
    </row>
    <row r="350" spans="1:27" ht="37.5">
      <c r="A350" s="56"/>
      <c r="B350" s="57" t="s">
        <v>56</v>
      </c>
      <c r="C350" s="58">
        <v>905</v>
      </c>
      <c r="D350" s="83" t="s">
        <v>200</v>
      </c>
      <c r="E350" s="83" t="s">
        <v>315</v>
      </c>
      <c r="F350" s="58" t="s">
        <v>341</v>
      </c>
      <c r="G350" s="59">
        <v>600</v>
      </c>
      <c r="H350" s="55"/>
      <c r="I350" s="55"/>
      <c r="J350" s="73"/>
      <c r="K350" s="70"/>
      <c r="L350" s="70"/>
      <c r="M350" s="70"/>
      <c r="N350" s="70"/>
      <c r="O350" s="70"/>
      <c r="P350" s="55"/>
      <c r="Q350" s="73"/>
      <c r="R350" s="73"/>
      <c r="S350" s="73"/>
      <c r="T350" s="77">
        <v>335.2</v>
      </c>
      <c r="U350" s="55">
        <v>0</v>
      </c>
      <c r="V350" s="57"/>
      <c r="W350" s="57"/>
      <c r="X350" s="57"/>
      <c r="Y350" s="106">
        <v>343</v>
      </c>
      <c r="Z350" s="46"/>
      <c r="AA350" s="81"/>
    </row>
    <row r="351" spans="1:27" ht="41.25" customHeight="1">
      <c r="A351" s="56"/>
      <c r="B351" s="57" t="s">
        <v>342</v>
      </c>
      <c r="C351" s="58">
        <v>905</v>
      </c>
      <c r="D351" s="83" t="s">
        <v>200</v>
      </c>
      <c r="E351" s="83" t="s">
        <v>315</v>
      </c>
      <c r="F351" s="58" t="s">
        <v>343</v>
      </c>
      <c r="G351" s="59"/>
      <c r="H351" s="55"/>
      <c r="I351" s="55"/>
      <c r="J351" s="73"/>
      <c r="K351" s="70"/>
      <c r="L351" s="70"/>
      <c r="M351" s="70"/>
      <c r="N351" s="70"/>
      <c r="O351" s="70"/>
      <c r="P351" s="55"/>
      <c r="Q351" s="73"/>
      <c r="R351" s="73"/>
      <c r="S351" s="73"/>
      <c r="T351" s="77">
        <f t="shared" ref="T351:Y351" si="259">T352</f>
        <v>0</v>
      </c>
      <c r="U351" s="55">
        <f t="shared" si="259"/>
        <v>0</v>
      </c>
      <c r="V351" s="57">
        <f t="shared" si="259"/>
        <v>0</v>
      </c>
      <c r="W351" s="57">
        <f t="shared" si="259"/>
        <v>0</v>
      </c>
      <c r="X351" s="57">
        <f t="shared" si="259"/>
        <v>1282.8</v>
      </c>
      <c r="Y351" s="106">
        <f t="shared" si="259"/>
        <v>1476.3</v>
      </c>
      <c r="Z351" s="46"/>
      <c r="AA351" s="81"/>
    </row>
    <row r="352" spans="1:27" ht="37.5">
      <c r="A352" s="56"/>
      <c r="B352" s="57" t="s">
        <v>56</v>
      </c>
      <c r="C352" s="58">
        <v>905</v>
      </c>
      <c r="D352" s="83" t="s">
        <v>200</v>
      </c>
      <c r="E352" s="83" t="s">
        <v>315</v>
      </c>
      <c r="F352" s="58" t="s">
        <v>343</v>
      </c>
      <c r="G352" s="59">
        <v>600</v>
      </c>
      <c r="H352" s="55"/>
      <c r="I352" s="55"/>
      <c r="J352" s="73"/>
      <c r="K352" s="70"/>
      <c r="L352" s="70"/>
      <c r="M352" s="70"/>
      <c r="N352" s="70"/>
      <c r="O352" s="70"/>
      <c r="P352" s="55"/>
      <c r="Q352" s="73"/>
      <c r="R352" s="73"/>
      <c r="S352" s="73"/>
      <c r="T352" s="77"/>
      <c r="U352" s="55">
        <v>0</v>
      </c>
      <c r="V352" s="57"/>
      <c r="W352" s="57"/>
      <c r="X352" s="57">
        <v>1282.8</v>
      </c>
      <c r="Y352" s="106">
        <v>1476.3</v>
      </c>
      <c r="Z352" s="46"/>
      <c r="AA352" s="81"/>
    </row>
    <row r="353" spans="1:27" ht="42" customHeight="1">
      <c r="A353" s="56"/>
      <c r="B353" s="57" t="s">
        <v>344</v>
      </c>
      <c r="C353" s="58">
        <v>905</v>
      </c>
      <c r="D353" s="83" t="s">
        <v>200</v>
      </c>
      <c r="E353" s="83" t="s">
        <v>315</v>
      </c>
      <c r="F353" s="58" t="s">
        <v>345</v>
      </c>
      <c r="G353" s="59"/>
      <c r="H353" s="55"/>
      <c r="I353" s="55"/>
      <c r="J353" s="73"/>
      <c r="K353" s="70"/>
      <c r="L353" s="70"/>
      <c r="M353" s="70"/>
      <c r="N353" s="70"/>
      <c r="O353" s="70">
        <f>O354</f>
        <v>13.4</v>
      </c>
      <c r="P353" s="70">
        <f t="shared" ref="P353:Y353" si="260">P354</f>
        <v>0</v>
      </c>
      <c r="Q353" s="70">
        <f t="shared" si="260"/>
        <v>0</v>
      </c>
      <c r="R353" s="70">
        <f t="shared" si="260"/>
        <v>0</v>
      </c>
      <c r="S353" s="70">
        <f t="shared" si="260"/>
        <v>0</v>
      </c>
      <c r="T353" s="76">
        <f t="shared" si="260"/>
        <v>16</v>
      </c>
      <c r="U353" s="55">
        <f t="shared" si="260"/>
        <v>0</v>
      </c>
      <c r="V353" s="55">
        <f t="shared" si="260"/>
        <v>0</v>
      </c>
      <c r="W353" s="55">
        <f t="shared" si="260"/>
        <v>0</v>
      </c>
      <c r="X353" s="55">
        <f t="shared" si="260"/>
        <v>0</v>
      </c>
      <c r="Y353" s="106">
        <f t="shared" si="260"/>
        <v>123.315</v>
      </c>
      <c r="Z353" s="46"/>
      <c r="AA353" s="81"/>
    </row>
    <row r="354" spans="1:27" ht="23.25" customHeight="1">
      <c r="A354" s="56"/>
      <c r="B354" s="57" t="s">
        <v>36</v>
      </c>
      <c r="C354" s="58">
        <v>905</v>
      </c>
      <c r="D354" s="83" t="s">
        <v>200</v>
      </c>
      <c r="E354" s="83" t="s">
        <v>315</v>
      </c>
      <c r="F354" s="58" t="s">
        <v>345</v>
      </c>
      <c r="G354" s="59">
        <v>200</v>
      </c>
      <c r="H354" s="55"/>
      <c r="I354" s="55"/>
      <c r="J354" s="73"/>
      <c r="K354" s="70"/>
      <c r="L354" s="70"/>
      <c r="M354" s="70"/>
      <c r="N354" s="70"/>
      <c r="O354" s="70">
        <v>13.4</v>
      </c>
      <c r="P354" s="55"/>
      <c r="Q354" s="73"/>
      <c r="R354" s="73"/>
      <c r="S354" s="73"/>
      <c r="T354" s="77">
        <v>16</v>
      </c>
      <c r="U354" s="57"/>
      <c r="V354" s="57"/>
      <c r="W354" s="57"/>
      <c r="X354" s="57"/>
      <c r="Y354" s="106">
        <v>123.315</v>
      </c>
      <c r="Z354" s="46"/>
      <c r="AA354" s="81"/>
    </row>
    <row r="355" spans="1:27" ht="41.25" customHeight="1">
      <c r="A355" s="56"/>
      <c r="B355" s="57" t="s">
        <v>346</v>
      </c>
      <c r="C355" s="58">
        <v>905</v>
      </c>
      <c r="D355" s="83" t="s">
        <v>200</v>
      </c>
      <c r="E355" s="83" t="s">
        <v>315</v>
      </c>
      <c r="F355" s="58" t="s">
        <v>280</v>
      </c>
      <c r="G355" s="59"/>
      <c r="H355" s="55"/>
      <c r="I355" s="55"/>
      <c r="J355" s="73"/>
      <c r="K355" s="70"/>
      <c r="L355" s="70"/>
      <c r="M355" s="70"/>
      <c r="N355" s="70"/>
      <c r="O355" s="70">
        <f>O356</f>
        <v>130</v>
      </c>
      <c r="P355" s="55"/>
      <c r="Q355" s="73"/>
      <c r="R355" s="73"/>
      <c r="S355" s="73"/>
      <c r="T355" s="76">
        <f>T356</f>
        <v>130</v>
      </c>
      <c r="U355" s="55">
        <f t="shared" ref="U355:Y356" si="261">U356</f>
        <v>0</v>
      </c>
      <c r="V355" s="55">
        <f t="shared" si="261"/>
        <v>0</v>
      </c>
      <c r="W355" s="55">
        <f t="shared" si="261"/>
        <v>0</v>
      </c>
      <c r="X355" s="55">
        <f t="shared" si="261"/>
        <v>0</v>
      </c>
      <c r="Y355" s="106">
        <f t="shared" si="261"/>
        <v>130</v>
      </c>
      <c r="Z355" s="46"/>
      <c r="AA355" s="81"/>
    </row>
    <row r="356" spans="1:27" ht="41.25" customHeight="1">
      <c r="A356" s="56"/>
      <c r="B356" s="57" t="s">
        <v>347</v>
      </c>
      <c r="C356" s="58">
        <v>905</v>
      </c>
      <c r="D356" s="83" t="s">
        <v>200</v>
      </c>
      <c r="E356" s="83" t="s">
        <v>315</v>
      </c>
      <c r="F356" s="58" t="s">
        <v>348</v>
      </c>
      <c r="G356" s="59"/>
      <c r="H356" s="55"/>
      <c r="I356" s="55"/>
      <c r="J356" s="73"/>
      <c r="K356" s="70"/>
      <c r="L356" s="70"/>
      <c r="M356" s="70"/>
      <c r="N356" s="70"/>
      <c r="O356" s="70">
        <f>O357</f>
        <v>130</v>
      </c>
      <c r="P356" s="55"/>
      <c r="Q356" s="73"/>
      <c r="R356" s="73"/>
      <c r="S356" s="73"/>
      <c r="T356" s="76">
        <f>T357</f>
        <v>130</v>
      </c>
      <c r="U356" s="55">
        <f t="shared" si="261"/>
        <v>0</v>
      </c>
      <c r="V356" s="55">
        <f t="shared" si="261"/>
        <v>0</v>
      </c>
      <c r="W356" s="55">
        <f t="shared" si="261"/>
        <v>0</v>
      </c>
      <c r="X356" s="55">
        <f t="shared" si="261"/>
        <v>0</v>
      </c>
      <c r="Y356" s="106">
        <f t="shared" si="261"/>
        <v>130</v>
      </c>
      <c r="Z356" s="46"/>
      <c r="AA356" s="81"/>
    </row>
    <row r="357" spans="1:27" ht="21.75" customHeight="1">
      <c r="A357" s="56"/>
      <c r="B357" s="57" t="s">
        <v>36</v>
      </c>
      <c r="C357" s="58">
        <v>905</v>
      </c>
      <c r="D357" s="83" t="s">
        <v>200</v>
      </c>
      <c r="E357" s="83" t="s">
        <v>315</v>
      </c>
      <c r="F357" s="58" t="s">
        <v>348</v>
      </c>
      <c r="G357" s="59">
        <v>200</v>
      </c>
      <c r="H357" s="55"/>
      <c r="I357" s="55"/>
      <c r="J357" s="73"/>
      <c r="K357" s="70"/>
      <c r="L357" s="70"/>
      <c r="M357" s="70"/>
      <c r="N357" s="70"/>
      <c r="O357" s="70">
        <v>130</v>
      </c>
      <c r="P357" s="55"/>
      <c r="Q357" s="73"/>
      <c r="R357" s="73"/>
      <c r="S357" s="73"/>
      <c r="T357" s="77">
        <v>130</v>
      </c>
      <c r="U357" s="57"/>
      <c r="V357" s="57"/>
      <c r="W357" s="57"/>
      <c r="X357" s="57"/>
      <c r="Y357" s="106">
        <f>T357+U357+V357+W357+X357</f>
        <v>130</v>
      </c>
      <c r="Z357" s="46"/>
      <c r="AA357" s="81"/>
    </row>
    <row r="358" spans="1:27" ht="25.5" customHeight="1">
      <c r="A358" s="56"/>
      <c r="B358" s="57" t="s">
        <v>26</v>
      </c>
      <c r="C358" s="58">
        <v>905</v>
      </c>
      <c r="D358" s="83" t="s">
        <v>200</v>
      </c>
      <c r="E358" s="83" t="s">
        <v>315</v>
      </c>
      <c r="F358" s="58" t="s">
        <v>27</v>
      </c>
      <c r="G358" s="59"/>
      <c r="H358" s="55"/>
      <c r="I358" s="55"/>
      <c r="J358" s="73"/>
      <c r="K358" s="70">
        <f>K359</f>
        <v>0</v>
      </c>
      <c r="L358" s="70"/>
      <c r="M358" s="70"/>
      <c r="N358" s="70"/>
      <c r="O358" s="70">
        <f t="shared" ref="O358:T358" si="262">O359</f>
        <v>0</v>
      </c>
      <c r="P358" s="55">
        <f t="shared" si="262"/>
        <v>0</v>
      </c>
      <c r="Q358" s="55">
        <f t="shared" si="262"/>
        <v>0</v>
      </c>
      <c r="R358" s="55">
        <f t="shared" si="262"/>
        <v>0</v>
      </c>
      <c r="S358" s="55">
        <f t="shared" si="262"/>
        <v>0</v>
      </c>
      <c r="T358" s="77">
        <f t="shared" si="262"/>
        <v>0</v>
      </c>
      <c r="U358" s="57">
        <f t="shared" ref="U358:Y359" si="263">U359</f>
        <v>0</v>
      </c>
      <c r="V358" s="57">
        <f t="shared" si="263"/>
        <v>0</v>
      </c>
      <c r="W358" s="57">
        <f t="shared" si="263"/>
        <v>0</v>
      </c>
      <c r="X358" s="55">
        <f t="shared" si="263"/>
        <v>0</v>
      </c>
      <c r="Y358" s="106">
        <f t="shared" si="263"/>
        <v>204.07499999999999</v>
      </c>
      <c r="Z358" s="46"/>
      <c r="AA358" s="81"/>
    </row>
    <row r="359" spans="1:27">
      <c r="A359" s="56"/>
      <c r="B359" s="57" t="s">
        <v>148</v>
      </c>
      <c r="C359" s="58">
        <v>905</v>
      </c>
      <c r="D359" s="83" t="s">
        <v>200</v>
      </c>
      <c r="E359" s="83" t="s">
        <v>315</v>
      </c>
      <c r="F359" s="58" t="s">
        <v>149</v>
      </c>
      <c r="G359" s="59"/>
      <c r="H359" s="55"/>
      <c r="I359" s="55"/>
      <c r="J359" s="73"/>
      <c r="K359" s="70">
        <f>K360</f>
        <v>0</v>
      </c>
      <c r="L359" s="70"/>
      <c r="M359" s="70"/>
      <c r="N359" s="70"/>
      <c r="O359" s="70">
        <f t="shared" ref="O359:T359" si="264">O360</f>
        <v>0</v>
      </c>
      <c r="P359" s="55">
        <f t="shared" si="264"/>
        <v>0</v>
      </c>
      <c r="Q359" s="70">
        <f t="shared" si="264"/>
        <v>0</v>
      </c>
      <c r="R359" s="70">
        <f t="shared" si="264"/>
        <v>0</v>
      </c>
      <c r="S359" s="70">
        <f t="shared" si="264"/>
        <v>0</v>
      </c>
      <c r="T359" s="76">
        <f t="shared" si="264"/>
        <v>0</v>
      </c>
      <c r="U359" s="57">
        <f t="shared" si="263"/>
        <v>0</v>
      </c>
      <c r="V359" s="57">
        <f t="shared" si="263"/>
        <v>0</v>
      </c>
      <c r="W359" s="57">
        <f t="shared" si="263"/>
        <v>0</v>
      </c>
      <c r="X359" s="55">
        <f t="shared" si="263"/>
        <v>0</v>
      </c>
      <c r="Y359" s="106">
        <f t="shared" si="263"/>
        <v>204.07499999999999</v>
      </c>
      <c r="Z359" s="46"/>
      <c r="AA359" s="81"/>
    </row>
    <row r="360" spans="1:27" ht="56.25">
      <c r="A360" s="56"/>
      <c r="B360" s="57" t="s">
        <v>32</v>
      </c>
      <c r="C360" s="58">
        <v>905</v>
      </c>
      <c r="D360" s="83" t="s">
        <v>200</v>
      </c>
      <c r="E360" s="83" t="s">
        <v>315</v>
      </c>
      <c r="F360" s="58" t="s">
        <v>149</v>
      </c>
      <c r="G360" s="59" t="s">
        <v>33</v>
      </c>
      <c r="H360" s="55"/>
      <c r="I360" s="55"/>
      <c r="J360" s="73"/>
      <c r="K360" s="70"/>
      <c r="L360" s="70"/>
      <c r="M360" s="70"/>
      <c r="N360" s="70"/>
      <c r="O360" s="70"/>
      <c r="P360" s="55">
        <v>0</v>
      </c>
      <c r="Q360" s="73"/>
      <c r="R360" s="73"/>
      <c r="S360" s="55">
        <v>0</v>
      </c>
      <c r="T360" s="77">
        <f>O360+P360+Q360+R360+S360</f>
        <v>0</v>
      </c>
      <c r="U360" s="57"/>
      <c r="V360" s="57"/>
      <c r="W360" s="57"/>
      <c r="X360" s="55"/>
      <c r="Y360" s="106">
        <v>204.07499999999999</v>
      </c>
      <c r="Z360" s="46"/>
      <c r="AA360" s="81"/>
    </row>
    <row r="361" spans="1:27">
      <c r="A361" s="56"/>
      <c r="B361" s="57" t="s">
        <v>349</v>
      </c>
      <c r="C361" s="58">
        <v>905</v>
      </c>
      <c r="D361" s="58" t="s">
        <v>350</v>
      </c>
      <c r="E361" s="58" t="s">
        <v>21</v>
      </c>
      <c r="F361" s="58" t="s">
        <v>21</v>
      </c>
      <c r="G361" s="59" t="s">
        <v>21</v>
      </c>
      <c r="H361" s="55" t="e">
        <f>H362</f>
        <v>#REF!</v>
      </c>
      <c r="I361" s="55" t="e">
        <f>I362</f>
        <v>#REF!</v>
      </c>
      <c r="J361" s="73" t="e">
        <f>J362</f>
        <v>#REF!</v>
      </c>
      <c r="K361" s="55" t="e">
        <f>K362</f>
        <v>#REF!</v>
      </c>
      <c r="L361" s="55"/>
      <c r="M361" s="55"/>
      <c r="N361" s="55"/>
      <c r="O361" s="70" t="e">
        <f t="shared" ref="O361:Y361" si="265">O362</f>
        <v>#REF!</v>
      </c>
      <c r="P361" s="55" t="e">
        <f t="shared" si="265"/>
        <v>#REF!</v>
      </c>
      <c r="Q361" s="70" t="e">
        <f t="shared" si="265"/>
        <v>#REF!</v>
      </c>
      <c r="R361" s="70" t="e">
        <f t="shared" si="265"/>
        <v>#REF!</v>
      </c>
      <c r="S361" s="70" t="e">
        <f t="shared" si="265"/>
        <v>#REF!</v>
      </c>
      <c r="T361" s="76" t="e">
        <f t="shared" si="265"/>
        <v>#REF!</v>
      </c>
      <c r="U361" s="55" t="e">
        <f t="shared" si="265"/>
        <v>#REF!</v>
      </c>
      <c r="V361" s="55" t="e">
        <f t="shared" si="265"/>
        <v>#REF!</v>
      </c>
      <c r="W361" s="55" t="e">
        <f t="shared" si="265"/>
        <v>#REF!</v>
      </c>
      <c r="X361" s="55" t="e">
        <f t="shared" si="265"/>
        <v>#REF!</v>
      </c>
      <c r="Y361" s="106">
        <f t="shared" si="265"/>
        <v>21150.7</v>
      </c>
      <c r="Z361" s="46"/>
      <c r="AA361" s="81"/>
    </row>
    <row r="362" spans="1:27">
      <c r="A362" s="56"/>
      <c r="B362" s="57" t="s">
        <v>351</v>
      </c>
      <c r="C362" s="58">
        <v>905</v>
      </c>
      <c r="D362" s="58" t="s">
        <v>350</v>
      </c>
      <c r="E362" s="58" t="s">
        <v>140</v>
      </c>
      <c r="F362" s="58" t="s">
        <v>21</v>
      </c>
      <c r="G362" s="59" t="s">
        <v>21</v>
      </c>
      <c r="H362" s="55" t="e">
        <f>H363+H369+H371+#REF!+H373</f>
        <v>#REF!</v>
      </c>
      <c r="I362" s="55" t="e">
        <f>I363+I369+I371+#REF!+I373</f>
        <v>#REF!</v>
      </c>
      <c r="J362" s="73" t="e">
        <f>J363+J369+J371+#REF!+J373</f>
        <v>#REF!</v>
      </c>
      <c r="K362" s="55" t="e">
        <f>K363+K369+K371+#REF!+K373</f>
        <v>#REF!</v>
      </c>
      <c r="L362" s="55"/>
      <c r="M362" s="55"/>
      <c r="N362" s="55"/>
      <c r="O362" s="70" t="e">
        <f t="shared" ref="O362:T362" si="266">O363+O368</f>
        <v>#REF!</v>
      </c>
      <c r="P362" s="55" t="e">
        <f t="shared" si="266"/>
        <v>#REF!</v>
      </c>
      <c r="Q362" s="70" t="e">
        <f t="shared" si="266"/>
        <v>#REF!</v>
      </c>
      <c r="R362" s="70" t="e">
        <f t="shared" si="266"/>
        <v>#REF!</v>
      </c>
      <c r="S362" s="70" t="e">
        <f t="shared" si="266"/>
        <v>#REF!</v>
      </c>
      <c r="T362" s="76" t="e">
        <f t="shared" si="266"/>
        <v>#REF!</v>
      </c>
      <c r="U362" s="55" t="e">
        <f t="shared" ref="U362:Y362" si="267">U363+U368</f>
        <v>#REF!</v>
      </c>
      <c r="V362" s="55" t="e">
        <f t="shared" si="267"/>
        <v>#REF!</v>
      </c>
      <c r="W362" s="55" t="e">
        <f t="shared" si="267"/>
        <v>#REF!</v>
      </c>
      <c r="X362" s="55" t="e">
        <f t="shared" si="267"/>
        <v>#REF!</v>
      </c>
      <c r="Y362" s="106">
        <f t="shared" si="267"/>
        <v>21150.7</v>
      </c>
      <c r="Z362" s="46"/>
      <c r="AA362" s="81"/>
    </row>
    <row r="363" spans="1:27" ht="37.5">
      <c r="A363" s="56"/>
      <c r="B363" s="57" t="s">
        <v>352</v>
      </c>
      <c r="C363" s="58">
        <v>905</v>
      </c>
      <c r="D363" s="58">
        <v>10</v>
      </c>
      <c r="E363" s="58" t="s">
        <v>140</v>
      </c>
      <c r="F363" s="58" t="s">
        <v>203</v>
      </c>
      <c r="G363" s="59"/>
      <c r="H363" s="55">
        <f t="shared" ref="H363:K366" si="268">H364</f>
        <v>0</v>
      </c>
      <c r="I363" s="55">
        <f t="shared" si="268"/>
        <v>475.8</v>
      </c>
      <c r="J363" s="73">
        <f t="shared" si="268"/>
        <v>0</v>
      </c>
      <c r="K363" s="55">
        <f t="shared" si="268"/>
        <v>369.2</v>
      </c>
      <c r="L363" s="55"/>
      <c r="M363" s="55"/>
      <c r="N363" s="55"/>
      <c r="O363" s="70">
        <f>O364</f>
        <v>0</v>
      </c>
      <c r="P363" s="55">
        <f t="shared" ref="P363:Y366" si="269">P364</f>
        <v>302.8</v>
      </c>
      <c r="Q363" s="70">
        <f t="shared" si="269"/>
        <v>0</v>
      </c>
      <c r="R363" s="70">
        <f t="shared" si="269"/>
        <v>0</v>
      </c>
      <c r="S363" s="70">
        <f t="shared" si="269"/>
        <v>0</v>
      </c>
      <c r="T363" s="76">
        <f t="shared" si="269"/>
        <v>0</v>
      </c>
      <c r="U363" s="55">
        <f t="shared" si="269"/>
        <v>0</v>
      </c>
      <c r="V363" s="55">
        <f t="shared" si="269"/>
        <v>0</v>
      </c>
      <c r="W363" s="55">
        <f t="shared" si="269"/>
        <v>0</v>
      </c>
      <c r="X363" s="55">
        <f t="shared" si="269"/>
        <v>302.8</v>
      </c>
      <c r="Y363" s="106">
        <f t="shared" si="269"/>
        <v>302.8</v>
      </c>
      <c r="Z363" s="46"/>
      <c r="AA363" s="81"/>
    </row>
    <row r="364" spans="1:27">
      <c r="A364" s="56"/>
      <c r="B364" s="57" t="s">
        <v>330</v>
      </c>
      <c r="C364" s="58">
        <v>905</v>
      </c>
      <c r="D364" s="58">
        <v>10</v>
      </c>
      <c r="E364" s="58" t="s">
        <v>140</v>
      </c>
      <c r="F364" s="58" t="s">
        <v>205</v>
      </c>
      <c r="G364" s="59"/>
      <c r="H364" s="55">
        <f>H365</f>
        <v>0</v>
      </c>
      <c r="I364" s="55">
        <f t="shared" si="268"/>
        <v>475.8</v>
      </c>
      <c r="J364" s="73">
        <f t="shared" si="268"/>
        <v>0</v>
      </c>
      <c r="K364" s="55">
        <f t="shared" si="268"/>
        <v>369.2</v>
      </c>
      <c r="L364" s="55"/>
      <c r="M364" s="55"/>
      <c r="N364" s="55"/>
      <c r="O364" s="70">
        <f>O365</f>
        <v>0</v>
      </c>
      <c r="P364" s="55">
        <f t="shared" si="269"/>
        <v>302.8</v>
      </c>
      <c r="Q364" s="70">
        <f t="shared" si="269"/>
        <v>0</v>
      </c>
      <c r="R364" s="70">
        <f t="shared" si="269"/>
        <v>0</v>
      </c>
      <c r="S364" s="70">
        <f t="shared" si="269"/>
        <v>0</v>
      </c>
      <c r="T364" s="76">
        <f t="shared" si="269"/>
        <v>0</v>
      </c>
      <c r="U364" s="55">
        <f t="shared" si="269"/>
        <v>0</v>
      </c>
      <c r="V364" s="55">
        <f t="shared" si="269"/>
        <v>0</v>
      </c>
      <c r="W364" s="55">
        <f t="shared" si="269"/>
        <v>0</v>
      </c>
      <c r="X364" s="55">
        <f t="shared" si="269"/>
        <v>302.8</v>
      </c>
      <c r="Y364" s="106">
        <f t="shared" si="269"/>
        <v>302.8</v>
      </c>
      <c r="Z364" s="46"/>
      <c r="AA364" s="81"/>
    </row>
    <row r="365" spans="1:27" ht="57" customHeight="1">
      <c r="A365" s="56"/>
      <c r="B365" s="57" t="s">
        <v>72</v>
      </c>
      <c r="C365" s="58">
        <v>905</v>
      </c>
      <c r="D365" s="58">
        <v>10</v>
      </c>
      <c r="E365" s="58" t="s">
        <v>140</v>
      </c>
      <c r="F365" s="58" t="s">
        <v>221</v>
      </c>
      <c r="G365" s="59"/>
      <c r="H365" s="55">
        <f>H366</f>
        <v>0</v>
      </c>
      <c r="I365" s="55">
        <f>I366</f>
        <v>475.8</v>
      </c>
      <c r="J365" s="73">
        <f>J366</f>
        <v>0</v>
      </c>
      <c r="K365" s="55">
        <f>K366</f>
        <v>369.2</v>
      </c>
      <c r="L365" s="55"/>
      <c r="M365" s="55"/>
      <c r="N365" s="55"/>
      <c r="O365" s="70">
        <f>O366</f>
        <v>0</v>
      </c>
      <c r="P365" s="55">
        <f t="shared" si="269"/>
        <v>302.8</v>
      </c>
      <c r="Q365" s="70">
        <f t="shared" si="269"/>
        <v>0</v>
      </c>
      <c r="R365" s="70">
        <f t="shared" si="269"/>
        <v>0</v>
      </c>
      <c r="S365" s="70">
        <f t="shared" si="269"/>
        <v>0</v>
      </c>
      <c r="T365" s="76">
        <f t="shared" si="269"/>
        <v>0</v>
      </c>
      <c r="U365" s="55">
        <f t="shared" si="269"/>
        <v>0</v>
      </c>
      <c r="V365" s="55">
        <f t="shared" si="269"/>
        <v>0</v>
      </c>
      <c r="W365" s="55">
        <f t="shared" si="269"/>
        <v>0</v>
      </c>
      <c r="X365" s="55">
        <f t="shared" si="269"/>
        <v>302.8</v>
      </c>
      <c r="Y365" s="106">
        <f t="shared" si="269"/>
        <v>302.8</v>
      </c>
      <c r="Z365" s="46"/>
      <c r="AA365" s="81"/>
    </row>
    <row r="366" spans="1:27" ht="56.25">
      <c r="A366" s="56"/>
      <c r="B366" s="57" t="s">
        <v>353</v>
      </c>
      <c r="C366" s="58">
        <v>905</v>
      </c>
      <c r="D366" s="58">
        <v>10</v>
      </c>
      <c r="E366" s="58" t="s">
        <v>140</v>
      </c>
      <c r="F366" s="58" t="s">
        <v>354</v>
      </c>
      <c r="G366" s="59"/>
      <c r="H366" s="55">
        <f t="shared" si="268"/>
        <v>0</v>
      </c>
      <c r="I366" s="55">
        <f t="shared" si="268"/>
        <v>475.8</v>
      </c>
      <c r="J366" s="73">
        <f t="shared" si="268"/>
        <v>0</v>
      </c>
      <c r="K366" s="55">
        <f t="shared" si="268"/>
        <v>369.2</v>
      </c>
      <c r="L366" s="55"/>
      <c r="M366" s="55"/>
      <c r="N366" s="55"/>
      <c r="O366" s="70">
        <f>O367</f>
        <v>0</v>
      </c>
      <c r="P366" s="55">
        <f t="shared" si="269"/>
        <v>302.8</v>
      </c>
      <c r="Q366" s="70">
        <f t="shared" si="269"/>
        <v>0</v>
      </c>
      <c r="R366" s="70">
        <f t="shared" si="269"/>
        <v>0</v>
      </c>
      <c r="S366" s="70">
        <f t="shared" si="269"/>
        <v>0</v>
      </c>
      <c r="T366" s="76">
        <f t="shared" si="269"/>
        <v>0</v>
      </c>
      <c r="U366" s="55">
        <f t="shared" si="269"/>
        <v>0</v>
      </c>
      <c r="V366" s="55">
        <f t="shared" si="269"/>
        <v>0</v>
      </c>
      <c r="W366" s="55">
        <f t="shared" si="269"/>
        <v>0</v>
      </c>
      <c r="X366" s="55">
        <f t="shared" si="269"/>
        <v>302.8</v>
      </c>
      <c r="Y366" s="106">
        <f t="shared" si="269"/>
        <v>302.8</v>
      </c>
      <c r="Z366" s="46"/>
      <c r="AA366" s="81"/>
    </row>
    <row r="367" spans="1:27">
      <c r="A367" s="56" t="s">
        <v>21</v>
      </c>
      <c r="B367" s="57" t="s">
        <v>45</v>
      </c>
      <c r="C367" s="58">
        <v>905</v>
      </c>
      <c r="D367" s="58" t="s">
        <v>350</v>
      </c>
      <c r="E367" s="58" t="s">
        <v>140</v>
      </c>
      <c r="F367" s="58" t="s">
        <v>354</v>
      </c>
      <c r="G367" s="59">
        <v>300</v>
      </c>
      <c r="H367" s="55"/>
      <c r="I367" s="55">
        <v>475.8</v>
      </c>
      <c r="J367" s="73"/>
      <c r="K367" s="70">
        <v>369.2</v>
      </c>
      <c r="L367" s="70"/>
      <c r="M367" s="70"/>
      <c r="N367" s="70"/>
      <c r="O367" s="70"/>
      <c r="P367" s="55">
        <v>302.8</v>
      </c>
      <c r="Q367" s="73"/>
      <c r="R367" s="73"/>
      <c r="S367" s="73"/>
      <c r="T367" s="77"/>
      <c r="U367" s="57"/>
      <c r="V367" s="57"/>
      <c r="W367" s="57"/>
      <c r="X367" s="57">
        <v>302.8</v>
      </c>
      <c r="Y367" s="106">
        <f>T367+U367+V367+W367+X367</f>
        <v>302.8</v>
      </c>
      <c r="Z367" s="46"/>
      <c r="AA367" s="81"/>
    </row>
    <row r="368" spans="1:27">
      <c r="A368" s="56"/>
      <c r="B368" s="57" t="s">
        <v>26</v>
      </c>
      <c r="C368" s="58">
        <v>905</v>
      </c>
      <c r="D368" s="83" t="s">
        <v>350</v>
      </c>
      <c r="E368" s="83" t="s">
        <v>140</v>
      </c>
      <c r="F368" s="58" t="s">
        <v>27</v>
      </c>
      <c r="G368" s="59"/>
      <c r="H368" s="55" t="e">
        <f>H369+H371+#REF!+H373</f>
        <v>#REF!</v>
      </c>
      <c r="I368" s="55" t="e">
        <f>I369+I371+#REF!+I373</f>
        <v>#REF!</v>
      </c>
      <c r="J368" s="73" t="e">
        <f>J369+J371+#REF!+J373</f>
        <v>#REF!</v>
      </c>
      <c r="K368" s="55" t="e">
        <f>K369+K371+#REF!+K373</f>
        <v>#REF!</v>
      </c>
      <c r="L368" s="55"/>
      <c r="M368" s="55"/>
      <c r="N368" s="55"/>
      <c r="O368" s="70" t="e">
        <f>O369+O371+#REF!+O373</f>
        <v>#REF!</v>
      </c>
      <c r="P368" s="55" t="e">
        <f>P369+P371+#REF!+P373</f>
        <v>#REF!</v>
      </c>
      <c r="Q368" s="70" t="e">
        <f>Q369+Q371+#REF!+Q373</f>
        <v>#REF!</v>
      </c>
      <c r="R368" s="70" t="e">
        <f>R369+R371+#REF!+R373</f>
        <v>#REF!</v>
      </c>
      <c r="S368" s="70" t="e">
        <f>S369+S371+#REF!+S373</f>
        <v>#REF!</v>
      </c>
      <c r="T368" s="76" t="e">
        <f>T369+T371+#REF!+T373</f>
        <v>#REF!</v>
      </c>
      <c r="U368" s="55" t="e">
        <f>U369+U371+#REF!+U373</f>
        <v>#REF!</v>
      </c>
      <c r="V368" s="55" t="e">
        <f>V369+V371+#REF!+V373</f>
        <v>#REF!</v>
      </c>
      <c r="W368" s="55" t="e">
        <f>W369+W371+#REF!+W373</f>
        <v>#REF!</v>
      </c>
      <c r="X368" s="55" t="e">
        <f>X369+X371+#REF!+X373</f>
        <v>#REF!</v>
      </c>
      <c r="Y368" s="106">
        <f>Y369+Y371+Y373</f>
        <v>20847.900000000001</v>
      </c>
      <c r="Z368" s="46"/>
      <c r="AA368" s="81"/>
    </row>
    <row r="369" spans="1:27" ht="37.5">
      <c r="A369" s="56" t="s">
        <v>21</v>
      </c>
      <c r="B369" s="57" t="s">
        <v>355</v>
      </c>
      <c r="C369" s="58">
        <v>905</v>
      </c>
      <c r="D369" s="58" t="s">
        <v>350</v>
      </c>
      <c r="E369" s="58" t="s">
        <v>140</v>
      </c>
      <c r="F369" s="58" t="s">
        <v>356</v>
      </c>
      <c r="G369" s="59" t="s">
        <v>21</v>
      </c>
      <c r="H369" s="55">
        <f>H370</f>
        <v>0</v>
      </c>
      <c r="I369" s="55">
        <f>I370</f>
        <v>3005.4</v>
      </c>
      <c r="J369" s="73">
        <f>J370</f>
        <v>0</v>
      </c>
      <c r="K369" s="55">
        <f>K370</f>
        <v>3292.6</v>
      </c>
      <c r="L369" s="55"/>
      <c r="M369" s="55"/>
      <c r="N369" s="55"/>
      <c r="O369" s="70">
        <f t="shared" ref="O369:Y369" si="270">O370</f>
        <v>0</v>
      </c>
      <c r="P369" s="55">
        <f t="shared" si="270"/>
        <v>5323.1</v>
      </c>
      <c r="Q369" s="70">
        <f t="shared" si="270"/>
        <v>0</v>
      </c>
      <c r="R369" s="70">
        <f t="shared" si="270"/>
        <v>0</v>
      </c>
      <c r="S369" s="70">
        <f t="shared" si="270"/>
        <v>0</v>
      </c>
      <c r="T369" s="76">
        <f t="shared" si="270"/>
        <v>0</v>
      </c>
      <c r="U369" s="55">
        <f t="shared" si="270"/>
        <v>0</v>
      </c>
      <c r="V369" s="55">
        <f t="shared" si="270"/>
        <v>0</v>
      </c>
      <c r="W369" s="55">
        <f t="shared" si="270"/>
        <v>0</v>
      </c>
      <c r="X369" s="55">
        <f t="shared" si="270"/>
        <v>6525.8</v>
      </c>
      <c r="Y369" s="106">
        <f t="shared" si="270"/>
        <v>6525.8</v>
      </c>
      <c r="Z369" s="46"/>
      <c r="AA369" s="81"/>
    </row>
    <row r="370" spans="1:27">
      <c r="A370" s="56" t="s">
        <v>21</v>
      </c>
      <c r="B370" s="57" t="s">
        <v>45</v>
      </c>
      <c r="C370" s="58">
        <v>905</v>
      </c>
      <c r="D370" s="58">
        <v>10</v>
      </c>
      <c r="E370" s="83" t="s">
        <v>140</v>
      </c>
      <c r="F370" s="58" t="s">
        <v>356</v>
      </c>
      <c r="G370" s="59">
        <v>300</v>
      </c>
      <c r="H370" s="55"/>
      <c r="I370" s="55">
        <v>3005.4</v>
      </c>
      <c r="J370" s="73"/>
      <c r="K370" s="70">
        <v>3292.6</v>
      </c>
      <c r="L370" s="70"/>
      <c r="M370" s="70"/>
      <c r="N370" s="70"/>
      <c r="O370" s="70"/>
      <c r="P370" s="55">
        <v>5323.1</v>
      </c>
      <c r="Q370" s="73"/>
      <c r="R370" s="73"/>
      <c r="S370" s="73"/>
      <c r="T370" s="77"/>
      <c r="U370" s="57"/>
      <c r="V370" s="57"/>
      <c r="W370" s="57"/>
      <c r="X370" s="57">
        <v>6525.8</v>
      </c>
      <c r="Y370" s="106">
        <f>T370+U370+V370+W370+X370</f>
        <v>6525.8</v>
      </c>
      <c r="Z370" s="46"/>
      <c r="AA370" s="81"/>
    </row>
    <row r="371" spans="1:27" ht="61.5" customHeight="1">
      <c r="A371" s="56" t="s">
        <v>21</v>
      </c>
      <c r="B371" s="57" t="s">
        <v>357</v>
      </c>
      <c r="C371" s="58">
        <v>905</v>
      </c>
      <c r="D371" s="58" t="s">
        <v>350</v>
      </c>
      <c r="E371" s="58" t="s">
        <v>140</v>
      </c>
      <c r="F371" s="58" t="s">
        <v>358</v>
      </c>
      <c r="G371" s="59" t="s">
        <v>21</v>
      </c>
      <c r="H371" s="55">
        <f>H372</f>
        <v>0</v>
      </c>
      <c r="I371" s="55">
        <f>I372</f>
        <v>9992.9</v>
      </c>
      <c r="J371" s="73">
        <f>J372</f>
        <v>0</v>
      </c>
      <c r="K371" s="55">
        <f>K372</f>
        <v>12192.7</v>
      </c>
      <c r="L371" s="55"/>
      <c r="M371" s="55"/>
      <c r="N371" s="55"/>
      <c r="O371" s="70">
        <f t="shared" ref="O371:Y371" si="271">O372</f>
        <v>0</v>
      </c>
      <c r="P371" s="55">
        <f t="shared" si="271"/>
        <v>13844.7</v>
      </c>
      <c r="Q371" s="70">
        <f t="shared" si="271"/>
        <v>0</v>
      </c>
      <c r="R371" s="70">
        <f t="shared" si="271"/>
        <v>0</v>
      </c>
      <c r="S371" s="70">
        <f t="shared" si="271"/>
        <v>0</v>
      </c>
      <c r="T371" s="76">
        <f t="shared" si="271"/>
        <v>0</v>
      </c>
      <c r="U371" s="55">
        <f t="shared" si="271"/>
        <v>0</v>
      </c>
      <c r="V371" s="55">
        <f t="shared" si="271"/>
        <v>0</v>
      </c>
      <c r="W371" s="55">
        <f t="shared" si="271"/>
        <v>0</v>
      </c>
      <c r="X371" s="55">
        <f t="shared" si="271"/>
        <v>14302.1</v>
      </c>
      <c r="Y371" s="106">
        <f t="shared" si="271"/>
        <v>14302.1</v>
      </c>
      <c r="Z371" s="46"/>
      <c r="AA371" s="81"/>
    </row>
    <row r="372" spans="1:27">
      <c r="A372" s="56" t="s">
        <v>21</v>
      </c>
      <c r="B372" s="57" t="s">
        <v>45</v>
      </c>
      <c r="C372" s="58">
        <v>905</v>
      </c>
      <c r="D372" s="58" t="s">
        <v>350</v>
      </c>
      <c r="E372" s="58" t="s">
        <v>140</v>
      </c>
      <c r="F372" s="58" t="s">
        <v>358</v>
      </c>
      <c r="G372" s="59">
        <v>300</v>
      </c>
      <c r="H372" s="55"/>
      <c r="I372" s="55">
        <v>9992.9</v>
      </c>
      <c r="J372" s="73"/>
      <c r="K372" s="70">
        <v>12192.7</v>
      </c>
      <c r="L372" s="70"/>
      <c r="M372" s="70"/>
      <c r="N372" s="70"/>
      <c r="O372" s="70"/>
      <c r="P372" s="55">
        <v>13844.7</v>
      </c>
      <c r="Q372" s="73"/>
      <c r="R372" s="73"/>
      <c r="S372" s="73"/>
      <c r="T372" s="77"/>
      <c r="U372" s="57"/>
      <c r="V372" s="57"/>
      <c r="W372" s="57"/>
      <c r="X372" s="57">
        <v>14302.1</v>
      </c>
      <c r="Y372" s="106">
        <f>T372+U372+V372+W372+X372</f>
        <v>14302.1</v>
      </c>
      <c r="Z372" s="46"/>
      <c r="AA372" s="81"/>
    </row>
    <row r="373" spans="1:27" ht="60" customHeight="1">
      <c r="A373" s="61"/>
      <c r="B373" s="57" t="s">
        <v>359</v>
      </c>
      <c r="C373" s="58">
        <v>905</v>
      </c>
      <c r="D373" s="58" t="s">
        <v>350</v>
      </c>
      <c r="E373" s="58" t="s">
        <v>140</v>
      </c>
      <c r="F373" s="58" t="s">
        <v>360</v>
      </c>
      <c r="G373" s="59"/>
      <c r="H373" s="55">
        <f>H374</f>
        <v>0</v>
      </c>
      <c r="I373" s="55">
        <f>I374</f>
        <v>60</v>
      </c>
      <c r="J373" s="73">
        <f>J374</f>
        <v>0</v>
      </c>
      <c r="K373" s="55">
        <f>K374</f>
        <v>60</v>
      </c>
      <c r="L373" s="55"/>
      <c r="M373" s="55"/>
      <c r="N373" s="55"/>
      <c r="O373" s="70">
        <f t="shared" ref="O373:Y373" si="272">O374</f>
        <v>0</v>
      </c>
      <c r="P373" s="55">
        <f t="shared" si="272"/>
        <v>60</v>
      </c>
      <c r="Q373" s="70">
        <f t="shared" si="272"/>
        <v>0</v>
      </c>
      <c r="R373" s="70">
        <f t="shared" si="272"/>
        <v>0</v>
      </c>
      <c r="S373" s="70">
        <f t="shared" si="272"/>
        <v>0</v>
      </c>
      <c r="T373" s="76">
        <f t="shared" si="272"/>
        <v>0</v>
      </c>
      <c r="U373" s="55">
        <f t="shared" si="272"/>
        <v>0</v>
      </c>
      <c r="V373" s="55">
        <f t="shared" si="272"/>
        <v>0</v>
      </c>
      <c r="W373" s="55">
        <f t="shared" si="272"/>
        <v>0</v>
      </c>
      <c r="X373" s="55">
        <f t="shared" si="272"/>
        <v>20</v>
      </c>
      <c r="Y373" s="106">
        <f t="shared" si="272"/>
        <v>20</v>
      </c>
      <c r="Z373" s="46"/>
      <c r="AA373" s="81"/>
    </row>
    <row r="374" spans="1:27">
      <c r="A374" s="56"/>
      <c r="B374" s="57" t="s">
        <v>45</v>
      </c>
      <c r="C374" s="58">
        <v>905</v>
      </c>
      <c r="D374" s="58" t="s">
        <v>350</v>
      </c>
      <c r="E374" s="58" t="s">
        <v>140</v>
      </c>
      <c r="F374" s="58" t="s">
        <v>360</v>
      </c>
      <c r="G374" s="59">
        <v>300</v>
      </c>
      <c r="H374" s="55"/>
      <c r="I374" s="55">
        <v>60</v>
      </c>
      <c r="J374" s="73"/>
      <c r="K374" s="70">
        <v>60</v>
      </c>
      <c r="L374" s="70"/>
      <c r="M374" s="70"/>
      <c r="N374" s="70"/>
      <c r="O374" s="70"/>
      <c r="P374" s="55">
        <v>60</v>
      </c>
      <c r="Q374" s="73"/>
      <c r="R374" s="73"/>
      <c r="S374" s="73"/>
      <c r="T374" s="77"/>
      <c r="U374" s="57"/>
      <c r="V374" s="57"/>
      <c r="W374" s="57"/>
      <c r="X374" s="57">
        <v>20</v>
      </c>
      <c r="Y374" s="106">
        <f>T374+U374+V374+W374+X374</f>
        <v>20</v>
      </c>
      <c r="Z374" s="46"/>
      <c r="AA374" s="81"/>
    </row>
    <row r="375" spans="1:27" ht="22.5" customHeight="1">
      <c r="A375" s="61">
        <v>5</v>
      </c>
      <c r="B375" s="52" t="s">
        <v>361</v>
      </c>
      <c r="C375" s="53">
        <v>906</v>
      </c>
      <c r="D375" s="53" t="s">
        <v>21</v>
      </c>
      <c r="E375" s="53" t="s">
        <v>21</v>
      </c>
      <c r="F375" s="53" t="s">
        <v>21</v>
      </c>
      <c r="G375" s="54" t="s">
        <v>21</v>
      </c>
      <c r="H375" s="55">
        <f t="shared" ref="H375:K378" si="273">H376</f>
        <v>1677.9</v>
      </c>
      <c r="I375" s="55">
        <f t="shared" si="273"/>
        <v>601.30000000000007</v>
      </c>
      <c r="J375" s="71">
        <f t="shared" si="273"/>
        <v>1943.31</v>
      </c>
      <c r="K375" s="68">
        <f t="shared" si="273"/>
        <v>625.79999999999995</v>
      </c>
      <c r="L375" s="68"/>
      <c r="M375" s="68"/>
      <c r="N375" s="68"/>
      <c r="O375" s="69">
        <f>O376</f>
        <v>2113.6999999999998</v>
      </c>
      <c r="P375" s="68">
        <f t="shared" ref="P375:Y378" si="274">P376</f>
        <v>680.5</v>
      </c>
      <c r="Q375" s="69">
        <f t="shared" si="274"/>
        <v>0</v>
      </c>
      <c r="R375" s="69">
        <f t="shared" si="274"/>
        <v>0</v>
      </c>
      <c r="S375" s="69">
        <f t="shared" si="274"/>
        <v>0</v>
      </c>
      <c r="T375" s="75">
        <f t="shared" si="274"/>
        <v>2456.8000000000002</v>
      </c>
      <c r="U375" s="71">
        <f t="shared" si="274"/>
        <v>0</v>
      </c>
      <c r="V375" s="68">
        <f t="shared" si="274"/>
        <v>0</v>
      </c>
      <c r="W375" s="68">
        <f t="shared" si="274"/>
        <v>0</v>
      </c>
      <c r="X375" s="68">
        <f t="shared" si="274"/>
        <v>714.46999999999991</v>
      </c>
      <c r="Y375" s="103">
        <f t="shared" si="274"/>
        <v>3438.8100899999999</v>
      </c>
      <c r="Z375" s="46"/>
      <c r="AA375" s="81"/>
    </row>
    <row r="376" spans="1:27">
      <c r="A376" s="56"/>
      <c r="B376" s="57" t="s">
        <v>22</v>
      </c>
      <c r="C376" s="58">
        <v>906</v>
      </c>
      <c r="D376" s="58" t="s">
        <v>23</v>
      </c>
      <c r="E376" s="58" t="s">
        <v>21</v>
      </c>
      <c r="F376" s="58" t="s">
        <v>21</v>
      </c>
      <c r="G376" s="59" t="s">
        <v>21</v>
      </c>
      <c r="H376" s="55">
        <f t="shared" si="273"/>
        <v>1677.9</v>
      </c>
      <c r="I376" s="55">
        <f t="shared" si="273"/>
        <v>601.30000000000007</v>
      </c>
      <c r="J376" s="73">
        <f t="shared" si="273"/>
        <v>1943.31</v>
      </c>
      <c r="K376" s="55">
        <f t="shared" si="273"/>
        <v>625.79999999999995</v>
      </c>
      <c r="L376" s="55"/>
      <c r="M376" s="55"/>
      <c r="N376" s="55"/>
      <c r="O376" s="70">
        <f>O377</f>
        <v>2113.6999999999998</v>
      </c>
      <c r="P376" s="55">
        <f t="shared" si="274"/>
        <v>680.5</v>
      </c>
      <c r="Q376" s="70">
        <f t="shared" si="274"/>
        <v>0</v>
      </c>
      <c r="R376" s="70">
        <f t="shared" si="274"/>
        <v>0</v>
      </c>
      <c r="S376" s="70">
        <f t="shared" si="274"/>
        <v>0</v>
      </c>
      <c r="T376" s="76">
        <f t="shared" si="274"/>
        <v>2456.8000000000002</v>
      </c>
      <c r="U376" s="55">
        <f t="shared" si="274"/>
        <v>0</v>
      </c>
      <c r="V376" s="55">
        <f t="shared" si="274"/>
        <v>0</v>
      </c>
      <c r="W376" s="55">
        <f t="shared" si="274"/>
        <v>0</v>
      </c>
      <c r="X376" s="55">
        <f t="shared" si="274"/>
        <v>714.46999999999991</v>
      </c>
      <c r="Y376" s="106">
        <f t="shared" si="274"/>
        <v>3438.8100899999999</v>
      </c>
      <c r="Z376" s="46"/>
      <c r="AA376" s="81"/>
    </row>
    <row r="377" spans="1:27" ht="42" customHeight="1">
      <c r="A377" s="56"/>
      <c r="B377" s="57" t="s">
        <v>162</v>
      </c>
      <c r="C377" s="58">
        <v>906</v>
      </c>
      <c r="D377" s="58" t="s">
        <v>23</v>
      </c>
      <c r="E377" s="58" t="s">
        <v>163</v>
      </c>
      <c r="F377" s="58" t="s">
        <v>21</v>
      </c>
      <c r="G377" s="59" t="s">
        <v>21</v>
      </c>
      <c r="H377" s="55">
        <f t="shared" si="273"/>
        <v>1677.9</v>
      </c>
      <c r="I377" s="55">
        <f t="shared" si="273"/>
        <v>601.30000000000007</v>
      </c>
      <c r="J377" s="73">
        <f t="shared" si="273"/>
        <v>1943.31</v>
      </c>
      <c r="K377" s="55">
        <f t="shared" si="273"/>
        <v>625.79999999999995</v>
      </c>
      <c r="L377" s="55"/>
      <c r="M377" s="55"/>
      <c r="N377" s="55"/>
      <c r="O377" s="70">
        <f>O378</f>
        <v>2113.6999999999998</v>
      </c>
      <c r="P377" s="55">
        <f t="shared" si="274"/>
        <v>680.5</v>
      </c>
      <c r="Q377" s="70">
        <f t="shared" si="274"/>
        <v>0</v>
      </c>
      <c r="R377" s="70">
        <f t="shared" si="274"/>
        <v>0</v>
      </c>
      <c r="S377" s="70">
        <f t="shared" si="274"/>
        <v>0</v>
      </c>
      <c r="T377" s="76">
        <f t="shared" si="274"/>
        <v>2456.8000000000002</v>
      </c>
      <c r="U377" s="55">
        <f t="shared" si="274"/>
        <v>0</v>
      </c>
      <c r="V377" s="55">
        <f t="shared" si="274"/>
        <v>0</v>
      </c>
      <c r="W377" s="55">
        <f t="shared" si="274"/>
        <v>0</v>
      </c>
      <c r="X377" s="55">
        <f t="shared" si="274"/>
        <v>714.46999999999991</v>
      </c>
      <c r="Y377" s="106">
        <f t="shared" si="274"/>
        <v>3438.8100899999999</v>
      </c>
      <c r="Z377" s="46"/>
      <c r="AA377" s="81"/>
    </row>
    <row r="378" spans="1:27">
      <c r="A378" s="56"/>
      <c r="B378" s="57" t="s">
        <v>26</v>
      </c>
      <c r="C378" s="58">
        <v>906</v>
      </c>
      <c r="D378" s="58" t="s">
        <v>23</v>
      </c>
      <c r="E378" s="58" t="s">
        <v>163</v>
      </c>
      <c r="F378" s="58" t="s">
        <v>27</v>
      </c>
      <c r="G378" s="59" t="s">
        <v>21</v>
      </c>
      <c r="H378" s="55">
        <f t="shared" si="273"/>
        <v>1677.9</v>
      </c>
      <c r="I378" s="55">
        <f t="shared" si="273"/>
        <v>601.30000000000007</v>
      </c>
      <c r="J378" s="73">
        <f t="shared" si="273"/>
        <v>1943.31</v>
      </c>
      <c r="K378" s="55">
        <f t="shared" si="273"/>
        <v>625.79999999999995</v>
      </c>
      <c r="L378" s="55"/>
      <c r="M378" s="55"/>
      <c r="N378" s="55"/>
      <c r="O378" s="70">
        <f>O379</f>
        <v>2113.6999999999998</v>
      </c>
      <c r="P378" s="55">
        <f t="shared" si="274"/>
        <v>680.5</v>
      </c>
      <c r="Q378" s="70">
        <f t="shared" si="274"/>
        <v>0</v>
      </c>
      <c r="R378" s="70">
        <f t="shared" si="274"/>
        <v>0</v>
      </c>
      <c r="S378" s="70">
        <f t="shared" si="274"/>
        <v>0</v>
      </c>
      <c r="T378" s="76">
        <f t="shared" si="274"/>
        <v>2456.8000000000002</v>
      </c>
      <c r="U378" s="55">
        <f t="shared" si="274"/>
        <v>0</v>
      </c>
      <c r="V378" s="55">
        <f t="shared" si="274"/>
        <v>0</v>
      </c>
      <c r="W378" s="55">
        <f t="shared" si="274"/>
        <v>0</v>
      </c>
      <c r="X378" s="55">
        <f t="shared" si="274"/>
        <v>714.46999999999991</v>
      </c>
      <c r="Y378" s="106">
        <f t="shared" si="274"/>
        <v>3438.8100899999999</v>
      </c>
      <c r="Z378" s="46"/>
      <c r="AA378" s="81"/>
    </row>
    <row r="379" spans="1:27" ht="22.5" customHeight="1">
      <c r="A379" s="56"/>
      <c r="B379" s="57" t="s">
        <v>362</v>
      </c>
      <c r="C379" s="58">
        <v>906</v>
      </c>
      <c r="D379" s="58" t="s">
        <v>23</v>
      </c>
      <c r="E379" s="58" t="s">
        <v>163</v>
      </c>
      <c r="F379" s="58" t="s">
        <v>363</v>
      </c>
      <c r="G379" s="59" t="s">
        <v>21</v>
      </c>
      <c r="H379" s="55">
        <f>H380+H382+H386</f>
        <v>1677.9</v>
      </c>
      <c r="I379" s="55">
        <f>I380+I382+I386</f>
        <v>601.30000000000007</v>
      </c>
      <c r="J379" s="73">
        <f>J380+J382+J386</f>
        <v>1943.31</v>
      </c>
      <c r="K379" s="55">
        <f>K380+K382+K386</f>
        <v>625.79999999999995</v>
      </c>
      <c r="L379" s="55"/>
      <c r="M379" s="55"/>
      <c r="N379" s="55"/>
      <c r="O379" s="70">
        <f t="shared" ref="O379:T379" si="275">O380+O382+O386</f>
        <v>2113.6999999999998</v>
      </c>
      <c r="P379" s="55">
        <f t="shared" si="275"/>
        <v>680.5</v>
      </c>
      <c r="Q379" s="70">
        <f t="shared" si="275"/>
        <v>0</v>
      </c>
      <c r="R379" s="70">
        <f t="shared" si="275"/>
        <v>0</v>
      </c>
      <c r="S379" s="70">
        <f t="shared" si="275"/>
        <v>0</v>
      </c>
      <c r="T379" s="76">
        <f t="shared" si="275"/>
        <v>2456.8000000000002</v>
      </c>
      <c r="U379" s="55">
        <f t="shared" ref="U379:Y379" si="276">U380+U382+U386</f>
        <v>0</v>
      </c>
      <c r="V379" s="55">
        <f t="shared" si="276"/>
        <v>0</v>
      </c>
      <c r="W379" s="55">
        <f t="shared" si="276"/>
        <v>0</v>
      </c>
      <c r="X379" s="55">
        <f t="shared" si="276"/>
        <v>714.46999999999991</v>
      </c>
      <c r="Y379" s="106">
        <f t="shared" si="276"/>
        <v>3438.8100899999999</v>
      </c>
      <c r="Z379" s="46"/>
      <c r="AA379" s="81"/>
    </row>
    <row r="380" spans="1:27" ht="20.25" customHeight="1">
      <c r="A380" s="56"/>
      <c r="B380" s="57" t="s">
        <v>364</v>
      </c>
      <c r="C380" s="58">
        <v>906</v>
      </c>
      <c r="D380" s="58" t="s">
        <v>23</v>
      </c>
      <c r="E380" s="58" t="s">
        <v>163</v>
      </c>
      <c r="F380" s="58" t="s">
        <v>365</v>
      </c>
      <c r="G380" s="59" t="s">
        <v>21</v>
      </c>
      <c r="H380" s="55">
        <f>H381</f>
        <v>1049.9000000000001</v>
      </c>
      <c r="I380" s="55">
        <f>I381</f>
        <v>0</v>
      </c>
      <c r="J380" s="73">
        <f>J381</f>
        <v>1288.8117</v>
      </c>
      <c r="K380" s="55">
        <f>K381</f>
        <v>0</v>
      </c>
      <c r="L380" s="55"/>
      <c r="M380" s="55"/>
      <c r="N380" s="55"/>
      <c r="O380" s="70">
        <f t="shared" ref="O380:Y380" si="277">O381</f>
        <v>1359.3</v>
      </c>
      <c r="P380" s="55">
        <f t="shared" si="277"/>
        <v>0</v>
      </c>
      <c r="Q380" s="70">
        <f t="shared" si="277"/>
        <v>0</v>
      </c>
      <c r="R380" s="70">
        <f t="shared" si="277"/>
        <v>0</v>
      </c>
      <c r="S380" s="70">
        <f t="shared" si="277"/>
        <v>0</v>
      </c>
      <c r="T380" s="76">
        <f t="shared" si="277"/>
        <v>1434.8</v>
      </c>
      <c r="U380" s="55">
        <f t="shared" si="277"/>
        <v>0</v>
      </c>
      <c r="V380" s="55">
        <f t="shared" si="277"/>
        <v>0</v>
      </c>
      <c r="W380" s="55">
        <f t="shared" si="277"/>
        <v>0</v>
      </c>
      <c r="X380" s="55">
        <f t="shared" si="277"/>
        <v>0</v>
      </c>
      <c r="Y380" s="106">
        <f t="shared" si="277"/>
        <v>1540.5220099999999</v>
      </c>
      <c r="Z380" s="46"/>
      <c r="AA380" s="81"/>
    </row>
    <row r="381" spans="1:27" ht="60" customHeight="1">
      <c r="A381" s="56"/>
      <c r="B381" s="57" t="s">
        <v>32</v>
      </c>
      <c r="C381" s="58">
        <v>906</v>
      </c>
      <c r="D381" s="58" t="s">
        <v>23</v>
      </c>
      <c r="E381" s="58" t="s">
        <v>163</v>
      </c>
      <c r="F381" s="58" t="s">
        <v>365</v>
      </c>
      <c r="G381" s="59" t="s">
        <v>33</v>
      </c>
      <c r="H381" s="55">
        <v>1049.9000000000001</v>
      </c>
      <c r="I381" s="55"/>
      <c r="J381" s="73">
        <f>989.8707+298.941</f>
        <v>1288.8117</v>
      </c>
      <c r="K381" s="70"/>
      <c r="L381" s="70"/>
      <c r="M381" s="70"/>
      <c r="N381" s="70"/>
      <c r="O381" s="70">
        <v>1359.3</v>
      </c>
      <c r="P381" s="55"/>
      <c r="Q381" s="73"/>
      <c r="R381" s="73"/>
      <c r="S381" s="73"/>
      <c r="T381" s="77">
        <v>1434.8</v>
      </c>
      <c r="U381" s="55">
        <v>0</v>
      </c>
      <c r="V381" s="55"/>
      <c r="W381" s="57"/>
      <c r="X381" s="57"/>
      <c r="Y381" s="106">
        <v>1540.5220099999999</v>
      </c>
      <c r="Z381" s="46"/>
      <c r="AA381" s="81"/>
    </row>
    <row r="382" spans="1:27">
      <c r="A382" s="56"/>
      <c r="B382" s="57" t="s">
        <v>146</v>
      </c>
      <c r="C382" s="58">
        <v>906</v>
      </c>
      <c r="D382" s="58" t="s">
        <v>23</v>
      </c>
      <c r="E382" s="58" t="s">
        <v>163</v>
      </c>
      <c r="F382" s="58" t="s">
        <v>366</v>
      </c>
      <c r="G382" s="59" t="s">
        <v>21</v>
      </c>
      <c r="H382" s="55">
        <f>H383+H384+H385</f>
        <v>628.00000000000011</v>
      </c>
      <c r="I382" s="55">
        <f>I383+I384+I385</f>
        <v>0</v>
      </c>
      <c r="J382" s="73">
        <f>J383+J384+J385</f>
        <v>654.49829999999997</v>
      </c>
      <c r="K382" s="55">
        <f>K383+K384+K385</f>
        <v>0</v>
      </c>
      <c r="L382" s="55"/>
      <c r="M382" s="55"/>
      <c r="N382" s="55"/>
      <c r="O382" s="70">
        <f t="shared" ref="O382:Y382" si="278">O383+O384+O385</f>
        <v>754.4</v>
      </c>
      <c r="P382" s="55">
        <f t="shared" si="278"/>
        <v>0</v>
      </c>
      <c r="Q382" s="70">
        <f t="shared" si="278"/>
        <v>0</v>
      </c>
      <c r="R382" s="70">
        <f t="shared" si="278"/>
        <v>0</v>
      </c>
      <c r="S382" s="70">
        <f t="shared" si="278"/>
        <v>0</v>
      </c>
      <c r="T382" s="76">
        <f t="shared" si="278"/>
        <v>1022</v>
      </c>
      <c r="U382" s="55">
        <f t="shared" si="278"/>
        <v>0</v>
      </c>
      <c r="V382" s="55">
        <f t="shared" si="278"/>
        <v>0</v>
      </c>
      <c r="W382" s="55">
        <f t="shared" si="278"/>
        <v>0</v>
      </c>
      <c r="X382" s="55">
        <f t="shared" si="278"/>
        <v>0</v>
      </c>
      <c r="Y382" s="106">
        <f t="shared" si="278"/>
        <v>1102.90904</v>
      </c>
      <c r="Z382" s="46"/>
      <c r="AA382" s="81"/>
    </row>
    <row r="383" spans="1:27" ht="60.75" customHeight="1">
      <c r="A383" s="56"/>
      <c r="B383" s="57" t="s">
        <v>32</v>
      </c>
      <c r="C383" s="58">
        <v>906</v>
      </c>
      <c r="D383" s="58" t="s">
        <v>23</v>
      </c>
      <c r="E383" s="58" t="s">
        <v>163</v>
      </c>
      <c r="F383" s="58" t="s">
        <v>366</v>
      </c>
      <c r="G383" s="59" t="s">
        <v>33</v>
      </c>
      <c r="H383" s="55">
        <v>590.70000000000005</v>
      </c>
      <c r="I383" s="55"/>
      <c r="J383" s="73">
        <f>471.9649+142.5334</f>
        <v>614.49829999999997</v>
      </c>
      <c r="K383" s="70"/>
      <c r="L383" s="70"/>
      <c r="M383" s="70"/>
      <c r="N383" s="70"/>
      <c r="O383" s="70">
        <v>665.3</v>
      </c>
      <c r="P383" s="55"/>
      <c r="Q383" s="73"/>
      <c r="R383" s="73"/>
      <c r="S383" s="73"/>
      <c r="T383" s="77">
        <v>702.3</v>
      </c>
      <c r="U383" s="57"/>
      <c r="V383" s="57"/>
      <c r="W383" s="57"/>
      <c r="X383" s="57"/>
      <c r="Y383" s="106">
        <v>783.20903999999996</v>
      </c>
      <c r="Z383" s="46"/>
      <c r="AA383" s="81"/>
    </row>
    <row r="384" spans="1:27" ht="23.25" customHeight="1">
      <c r="A384" s="56"/>
      <c r="B384" s="57" t="s">
        <v>36</v>
      </c>
      <c r="C384" s="58">
        <v>906</v>
      </c>
      <c r="D384" s="58" t="s">
        <v>23</v>
      </c>
      <c r="E384" s="58" t="s">
        <v>163</v>
      </c>
      <c r="F384" s="58" t="s">
        <v>366</v>
      </c>
      <c r="G384" s="59" t="s">
        <v>37</v>
      </c>
      <c r="H384" s="55">
        <v>37.1</v>
      </c>
      <c r="I384" s="55"/>
      <c r="J384" s="73">
        <f>1.3+3.5+14.4+20.5</f>
        <v>39.700000000000003</v>
      </c>
      <c r="K384" s="70"/>
      <c r="L384" s="70"/>
      <c r="M384" s="70"/>
      <c r="N384" s="70"/>
      <c r="O384" s="70">
        <f>54.6+34</f>
        <v>88.6</v>
      </c>
      <c r="P384" s="55">
        <v>0</v>
      </c>
      <c r="Q384" s="73"/>
      <c r="R384" s="73"/>
      <c r="S384" s="73"/>
      <c r="T384" s="77">
        <v>319.7</v>
      </c>
      <c r="U384" s="57">
        <v>0</v>
      </c>
      <c r="V384" s="57"/>
      <c r="W384" s="57"/>
      <c r="X384" s="57"/>
      <c r="Y384" s="106">
        <f t="shared" ref="Y384:Y385" si="279">T384+U384+V384+W384+X384</f>
        <v>319.7</v>
      </c>
      <c r="Z384" s="46"/>
      <c r="AA384" s="81"/>
    </row>
    <row r="385" spans="1:28" ht="15" hidden="1" customHeight="1">
      <c r="A385" s="56"/>
      <c r="B385" s="57" t="s">
        <v>38</v>
      </c>
      <c r="C385" s="58">
        <v>906</v>
      </c>
      <c r="D385" s="83" t="s">
        <v>23</v>
      </c>
      <c r="E385" s="83" t="s">
        <v>163</v>
      </c>
      <c r="F385" s="58" t="s">
        <v>366</v>
      </c>
      <c r="G385" s="59">
        <v>800</v>
      </c>
      <c r="H385" s="55">
        <v>0.2</v>
      </c>
      <c r="I385" s="55"/>
      <c r="J385" s="73">
        <v>0.3</v>
      </c>
      <c r="K385" s="70"/>
      <c r="L385" s="70"/>
      <c r="M385" s="70"/>
      <c r="N385" s="70"/>
      <c r="O385" s="70">
        <v>0.5</v>
      </c>
      <c r="P385" s="55"/>
      <c r="Q385" s="73"/>
      <c r="R385" s="73"/>
      <c r="S385" s="73"/>
      <c r="T385" s="77">
        <v>0</v>
      </c>
      <c r="U385" s="57"/>
      <c r="V385" s="57"/>
      <c r="W385" s="57"/>
      <c r="X385" s="57"/>
      <c r="Y385" s="106">
        <f t="shared" si="279"/>
        <v>0</v>
      </c>
      <c r="Z385" s="46"/>
      <c r="AA385" s="81"/>
    </row>
    <row r="386" spans="1:28" ht="42" customHeight="1">
      <c r="A386" s="56"/>
      <c r="B386" s="57" t="s">
        <v>367</v>
      </c>
      <c r="C386" s="58">
        <v>906</v>
      </c>
      <c r="D386" s="58" t="s">
        <v>23</v>
      </c>
      <c r="E386" s="58" t="s">
        <v>163</v>
      </c>
      <c r="F386" s="58" t="s">
        <v>368</v>
      </c>
      <c r="G386" s="59" t="s">
        <v>21</v>
      </c>
      <c r="H386" s="55">
        <f>H387+H388</f>
        <v>0</v>
      </c>
      <c r="I386" s="55">
        <f>I387+I388</f>
        <v>601.30000000000007</v>
      </c>
      <c r="J386" s="73">
        <f>J387+J388</f>
        <v>0</v>
      </c>
      <c r="K386" s="55">
        <f>K387+K388</f>
        <v>625.79999999999995</v>
      </c>
      <c r="L386" s="55"/>
      <c r="M386" s="55"/>
      <c r="N386" s="55"/>
      <c r="O386" s="70">
        <f t="shared" ref="O386:Y386" si="280">O387+O388</f>
        <v>0</v>
      </c>
      <c r="P386" s="55">
        <f t="shared" si="280"/>
        <v>680.5</v>
      </c>
      <c r="Q386" s="70">
        <f t="shared" si="280"/>
        <v>0</v>
      </c>
      <c r="R386" s="70">
        <f t="shared" si="280"/>
        <v>0</v>
      </c>
      <c r="S386" s="70">
        <f t="shared" si="280"/>
        <v>0</v>
      </c>
      <c r="T386" s="76">
        <f t="shared" si="280"/>
        <v>0</v>
      </c>
      <c r="U386" s="55">
        <f t="shared" si="280"/>
        <v>0</v>
      </c>
      <c r="V386" s="55">
        <f t="shared" si="280"/>
        <v>0</v>
      </c>
      <c r="W386" s="55">
        <f t="shared" si="280"/>
        <v>0</v>
      </c>
      <c r="X386" s="55">
        <f t="shared" si="280"/>
        <v>714.46999999999991</v>
      </c>
      <c r="Y386" s="106">
        <f t="shared" si="280"/>
        <v>795.37903999999992</v>
      </c>
      <c r="Z386" s="46"/>
      <c r="AA386" s="81"/>
    </row>
    <row r="387" spans="1:28" ht="60" customHeight="1">
      <c r="A387" s="61"/>
      <c r="B387" s="57" t="s">
        <v>32</v>
      </c>
      <c r="C387" s="58">
        <v>906</v>
      </c>
      <c r="D387" s="58" t="s">
        <v>23</v>
      </c>
      <c r="E387" s="58" t="s">
        <v>163</v>
      </c>
      <c r="F387" s="58" t="s">
        <v>368</v>
      </c>
      <c r="G387" s="59" t="s">
        <v>33</v>
      </c>
      <c r="H387" s="55"/>
      <c r="I387" s="55">
        <v>590.70000000000005</v>
      </c>
      <c r="J387" s="73"/>
      <c r="K387" s="70">
        <v>614.4</v>
      </c>
      <c r="L387" s="70"/>
      <c r="M387" s="70"/>
      <c r="N387" s="70"/>
      <c r="O387" s="70"/>
      <c r="P387" s="55">
        <v>665.3</v>
      </c>
      <c r="Q387" s="73"/>
      <c r="R387" s="73"/>
      <c r="S387" s="73"/>
      <c r="T387" s="77"/>
      <c r="U387" s="57"/>
      <c r="V387" s="57"/>
      <c r="W387" s="57"/>
      <c r="X387" s="57">
        <v>702.3</v>
      </c>
      <c r="Y387" s="106">
        <v>783.20903999999996</v>
      </c>
      <c r="Z387" s="46"/>
      <c r="AA387" s="81"/>
    </row>
    <row r="388" spans="1:28" ht="25.5" customHeight="1">
      <c r="A388" s="56" t="s">
        <v>21</v>
      </c>
      <c r="B388" s="57" t="s">
        <v>36</v>
      </c>
      <c r="C388" s="58">
        <v>906</v>
      </c>
      <c r="D388" s="58" t="s">
        <v>23</v>
      </c>
      <c r="E388" s="58" t="s">
        <v>163</v>
      </c>
      <c r="F388" s="58" t="s">
        <v>368</v>
      </c>
      <c r="G388" s="59" t="s">
        <v>37</v>
      </c>
      <c r="H388" s="55"/>
      <c r="I388" s="55">
        <v>10.6</v>
      </c>
      <c r="J388" s="73"/>
      <c r="K388" s="70">
        <v>11.4</v>
      </c>
      <c r="L388" s="70"/>
      <c r="M388" s="70"/>
      <c r="N388" s="70"/>
      <c r="O388" s="70"/>
      <c r="P388" s="55">
        <v>15.2</v>
      </c>
      <c r="Q388" s="73"/>
      <c r="R388" s="73"/>
      <c r="S388" s="73"/>
      <c r="T388" s="77"/>
      <c r="U388" s="57"/>
      <c r="V388" s="55">
        <v>0</v>
      </c>
      <c r="W388" s="57"/>
      <c r="X388" s="57">
        <v>12.17</v>
      </c>
      <c r="Y388" s="106">
        <f>T388+U388+V388+W388+X388</f>
        <v>12.17</v>
      </c>
      <c r="Z388" s="46"/>
      <c r="AA388" s="81"/>
    </row>
    <row r="389" spans="1:28" ht="23.25" customHeight="1">
      <c r="A389" s="61">
        <v>6</v>
      </c>
      <c r="B389" s="52" t="s">
        <v>369</v>
      </c>
      <c r="C389" s="53">
        <v>908</v>
      </c>
      <c r="D389" s="53"/>
      <c r="E389" s="53"/>
      <c r="F389" s="53"/>
      <c r="G389" s="54"/>
      <c r="H389" s="55" t="e">
        <f>H390+H483+H498+H552+H598+H612+H650+H668</f>
        <v>#REF!</v>
      </c>
      <c r="I389" s="55" t="e">
        <f>I390+I483+I498+I552+I598+I612+I650+I668</f>
        <v>#REF!</v>
      </c>
      <c r="J389" s="71" t="e">
        <f>J390+J483+J498+J552+J598+J612+J650+J668</f>
        <v>#REF!</v>
      </c>
      <c r="K389" s="71" t="e">
        <f>K390+K483+K498+K552+K598+K612+K650+K668</f>
        <v>#REF!</v>
      </c>
      <c r="L389" s="72"/>
      <c r="M389" s="68"/>
      <c r="N389" s="68"/>
      <c r="O389" s="69" t="e">
        <f t="shared" ref="O389:Y389" si="281">O390+O483+O498+O552+O598+O612+O650+O668</f>
        <v>#REF!</v>
      </c>
      <c r="P389" s="68" t="e">
        <f t="shared" si="281"/>
        <v>#REF!</v>
      </c>
      <c r="Q389" s="69" t="e">
        <f t="shared" si="281"/>
        <v>#REF!</v>
      </c>
      <c r="R389" s="69" t="e">
        <f t="shared" si="281"/>
        <v>#REF!</v>
      </c>
      <c r="S389" s="69" t="e">
        <f t="shared" si="281"/>
        <v>#REF!</v>
      </c>
      <c r="T389" s="75">
        <f t="shared" si="281"/>
        <v>90421.599999999991</v>
      </c>
      <c r="U389" s="71">
        <f t="shared" si="281"/>
        <v>0</v>
      </c>
      <c r="V389" s="71">
        <f t="shared" si="281"/>
        <v>0</v>
      </c>
      <c r="W389" s="71">
        <f t="shared" si="281"/>
        <v>0</v>
      </c>
      <c r="X389" s="71">
        <f t="shared" si="281"/>
        <v>56410.399999999994</v>
      </c>
      <c r="Y389" s="103">
        <f t="shared" si="281"/>
        <v>194036.53879000002</v>
      </c>
      <c r="Z389" s="46"/>
      <c r="AA389" s="81"/>
      <c r="AB389" s="81">
        <f>159252.36905-Y389</f>
        <v>-34784.169740000012</v>
      </c>
    </row>
    <row r="390" spans="1:28">
      <c r="A390" s="56" t="s">
        <v>21</v>
      </c>
      <c r="B390" s="57" t="s">
        <v>22</v>
      </c>
      <c r="C390" s="58">
        <v>908</v>
      </c>
      <c r="D390" s="58" t="s">
        <v>23</v>
      </c>
      <c r="E390" s="58" t="s">
        <v>21</v>
      </c>
      <c r="F390" s="58" t="s">
        <v>21</v>
      </c>
      <c r="G390" s="59" t="s">
        <v>21</v>
      </c>
      <c r="H390" s="55">
        <f>H391+H398+H407+H417</f>
        <v>40877.4</v>
      </c>
      <c r="I390" s="55">
        <f>I391+I398+I407+I417</f>
        <v>198</v>
      </c>
      <c r="J390" s="73">
        <f>J391+J398+J407+J417</f>
        <v>48533.100000000006</v>
      </c>
      <c r="K390" s="55">
        <f>K391+K398+K407+K417</f>
        <v>198</v>
      </c>
      <c r="L390" s="55"/>
      <c r="M390" s="55"/>
      <c r="N390" s="55"/>
      <c r="O390" s="70">
        <f t="shared" ref="O390:T390" si="282">O391+O398+O407+O417</f>
        <v>53068.599999999991</v>
      </c>
      <c r="P390" s="55">
        <f t="shared" si="282"/>
        <v>198</v>
      </c>
      <c r="Q390" s="70">
        <f t="shared" si="282"/>
        <v>0</v>
      </c>
      <c r="R390" s="70">
        <f t="shared" si="282"/>
        <v>0</v>
      </c>
      <c r="S390" s="70">
        <f t="shared" si="282"/>
        <v>0</v>
      </c>
      <c r="T390" s="76">
        <f t="shared" si="282"/>
        <v>56243</v>
      </c>
      <c r="U390" s="55">
        <f t="shared" ref="U390:Y390" si="283">U391+U398+U407+U417</f>
        <v>0</v>
      </c>
      <c r="V390" s="55">
        <f t="shared" si="283"/>
        <v>0</v>
      </c>
      <c r="W390" s="55">
        <f t="shared" si="283"/>
        <v>0</v>
      </c>
      <c r="X390" s="55">
        <f t="shared" si="283"/>
        <v>198</v>
      </c>
      <c r="Y390" s="106">
        <f t="shared" si="283"/>
        <v>60898.798970000003</v>
      </c>
      <c r="Z390" s="46"/>
      <c r="AA390" s="81"/>
    </row>
    <row r="391" spans="1:28" ht="37.5">
      <c r="A391" s="56" t="s">
        <v>21</v>
      </c>
      <c r="B391" s="57" t="s">
        <v>370</v>
      </c>
      <c r="C391" s="58">
        <v>908</v>
      </c>
      <c r="D391" s="58" t="s">
        <v>23</v>
      </c>
      <c r="E391" s="58" t="s">
        <v>193</v>
      </c>
      <c r="F391" s="58" t="s">
        <v>21</v>
      </c>
      <c r="G391" s="59" t="s">
        <v>21</v>
      </c>
      <c r="H391" s="55">
        <f t="shared" ref="H391:K394" si="284">H392</f>
        <v>1516.6</v>
      </c>
      <c r="I391" s="55"/>
      <c r="J391" s="73">
        <f t="shared" si="284"/>
        <v>1577.3000000000002</v>
      </c>
      <c r="K391" s="55">
        <f t="shared" si="284"/>
        <v>0</v>
      </c>
      <c r="L391" s="55"/>
      <c r="M391" s="55"/>
      <c r="N391" s="55"/>
      <c r="O391" s="70">
        <f t="shared" ref="O391:Y391" si="285">O392</f>
        <v>1658.1</v>
      </c>
      <c r="P391" s="55">
        <f t="shared" si="285"/>
        <v>0</v>
      </c>
      <c r="Q391" s="70">
        <f t="shared" si="285"/>
        <v>0</v>
      </c>
      <c r="R391" s="70">
        <f t="shared" si="285"/>
        <v>0</v>
      </c>
      <c r="S391" s="70">
        <f t="shared" si="285"/>
        <v>0</v>
      </c>
      <c r="T391" s="76">
        <f t="shared" si="285"/>
        <v>1750.3</v>
      </c>
      <c r="U391" s="55">
        <f t="shared" si="285"/>
        <v>0</v>
      </c>
      <c r="V391" s="55">
        <f t="shared" si="285"/>
        <v>0</v>
      </c>
      <c r="W391" s="55">
        <f t="shared" si="285"/>
        <v>0</v>
      </c>
      <c r="X391" s="55">
        <f t="shared" si="285"/>
        <v>0</v>
      </c>
      <c r="Y391" s="106">
        <f t="shared" si="285"/>
        <v>2980.7043299999996</v>
      </c>
      <c r="Z391" s="46"/>
      <c r="AA391" s="81"/>
    </row>
    <row r="392" spans="1:28">
      <c r="A392" s="56" t="s">
        <v>21</v>
      </c>
      <c r="B392" s="57" t="s">
        <v>26</v>
      </c>
      <c r="C392" s="58">
        <v>908</v>
      </c>
      <c r="D392" s="58" t="s">
        <v>23</v>
      </c>
      <c r="E392" s="58" t="s">
        <v>193</v>
      </c>
      <c r="F392" s="58" t="s">
        <v>27</v>
      </c>
      <c r="G392" s="59" t="s">
        <v>21</v>
      </c>
      <c r="H392" s="55">
        <f t="shared" si="284"/>
        <v>1516.6</v>
      </c>
      <c r="I392" s="55"/>
      <c r="J392" s="73">
        <f t="shared" si="284"/>
        <v>1577.3000000000002</v>
      </c>
      <c r="K392" s="65">
        <f>K393+K396</f>
        <v>0</v>
      </c>
      <c r="L392" s="65"/>
      <c r="M392" s="65"/>
      <c r="N392" s="65"/>
      <c r="O392" s="70">
        <f t="shared" ref="O392:T392" si="286">O393+O396</f>
        <v>1658.1</v>
      </c>
      <c r="P392" s="55">
        <f t="shared" si="286"/>
        <v>0</v>
      </c>
      <c r="Q392" s="70">
        <f t="shared" si="286"/>
        <v>0</v>
      </c>
      <c r="R392" s="70">
        <f t="shared" si="286"/>
        <v>0</v>
      </c>
      <c r="S392" s="70">
        <f t="shared" si="286"/>
        <v>0</v>
      </c>
      <c r="T392" s="76">
        <f t="shared" si="286"/>
        <v>1750.3</v>
      </c>
      <c r="U392" s="55">
        <f t="shared" ref="U392:Y392" si="287">U393+U396</f>
        <v>0</v>
      </c>
      <c r="V392" s="55">
        <f t="shared" si="287"/>
        <v>0</v>
      </c>
      <c r="W392" s="55">
        <f t="shared" si="287"/>
        <v>0</v>
      </c>
      <c r="X392" s="55">
        <f t="shared" si="287"/>
        <v>0</v>
      </c>
      <c r="Y392" s="106">
        <f t="shared" si="287"/>
        <v>2980.7043299999996</v>
      </c>
      <c r="Z392" s="46"/>
      <c r="AA392" s="81"/>
    </row>
    <row r="393" spans="1:28" ht="21.75" customHeight="1">
      <c r="A393" s="56" t="s">
        <v>21</v>
      </c>
      <c r="B393" s="57" t="s">
        <v>371</v>
      </c>
      <c r="C393" s="58">
        <v>908</v>
      </c>
      <c r="D393" s="58" t="s">
        <v>23</v>
      </c>
      <c r="E393" s="58" t="s">
        <v>193</v>
      </c>
      <c r="F393" s="58" t="s">
        <v>372</v>
      </c>
      <c r="G393" s="59" t="s">
        <v>21</v>
      </c>
      <c r="H393" s="55">
        <f t="shared" si="284"/>
        <v>1516.6</v>
      </c>
      <c r="I393" s="55"/>
      <c r="J393" s="73">
        <f t="shared" si="284"/>
        <v>1577.3000000000002</v>
      </c>
      <c r="K393" s="55">
        <f t="shared" si="284"/>
        <v>0</v>
      </c>
      <c r="L393" s="55"/>
      <c r="M393" s="55"/>
      <c r="N393" s="55"/>
      <c r="O393" s="70">
        <f>O394</f>
        <v>1658.1</v>
      </c>
      <c r="P393" s="55">
        <f t="shared" ref="P393:Y394" si="288">P394</f>
        <v>0</v>
      </c>
      <c r="Q393" s="70">
        <f t="shared" si="288"/>
        <v>0</v>
      </c>
      <c r="R393" s="70">
        <f t="shared" si="288"/>
        <v>0</v>
      </c>
      <c r="S393" s="70">
        <f t="shared" si="288"/>
        <v>0</v>
      </c>
      <c r="T393" s="76">
        <f t="shared" si="288"/>
        <v>1750.3</v>
      </c>
      <c r="U393" s="55">
        <f t="shared" si="288"/>
        <v>0</v>
      </c>
      <c r="V393" s="55">
        <f t="shared" si="288"/>
        <v>0</v>
      </c>
      <c r="W393" s="55">
        <f t="shared" si="288"/>
        <v>0</v>
      </c>
      <c r="X393" s="55">
        <f t="shared" si="288"/>
        <v>0</v>
      </c>
      <c r="Y393" s="106">
        <f t="shared" si="288"/>
        <v>1939.1043299999999</v>
      </c>
      <c r="Z393" s="46"/>
      <c r="AA393" s="81"/>
    </row>
    <row r="394" spans="1:28">
      <c r="A394" s="56" t="s">
        <v>21</v>
      </c>
      <c r="B394" s="57" t="s">
        <v>373</v>
      </c>
      <c r="C394" s="58">
        <v>908</v>
      </c>
      <c r="D394" s="58" t="s">
        <v>23</v>
      </c>
      <c r="E394" s="58" t="s">
        <v>193</v>
      </c>
      <c r="F394" s="58" t="s">
        <v>374</v>
      </c>
      <c r="G394" s="59" t="s">
        <v>21</v>
      </c>
      <c r="H394" s="55">
        <f t="shared" si="284"/>
        <v>1516.6</v>
      </c>
      <c r="I394" s="55"/>
      <c r="J394" s="73">
        <f t="shared" si="284"/>
        <v>1577.3000000000002</v>
      </c>
      <c r="K394" s="55">
        <f t="shared" si="284"/>
        <v>0</v>
      </c>
      <c r="L394" s="55"/>
      <c r="M394" s="55"/>
      <c r="N394" s="55"/>
      <c r="O394" s="70">
        <f>O395</f>
        <v>1658.1</v>
      </c>
      <c r="P394" s="55">
        <f t="shared" si="288"/>
        <v>0</v>
      </c>
      <c r="Q394" s="70">
        <f t="shared" si="288"/>
        <v>0</v>
      </c>
      <c r="R394" s="70">
        <f t="shared" si="288"/>
        <v>0</v>
      </c>
      <c r="S394" s="70">
        <f t="shared" si="288"/>
        <v>0</v>
      </c>
      <c r="T394" s="76">
        <f t="shared" si="288"/>
        <v>1750.3</v>
      </c>
      <c r="U394" s="55">
        <f t="shared" si="288"/>
        <v>0</v>
      </c>
      <c r="V394" s="55">
        <f t="shared" si="288"/>
        <v>0</v>
      </c>
      <c r="W394" s="55">
        <f t="shared" si="288"/>
        <v>0</v>
      </c>
      <c r="X394" s="55">
        <f t="shared" si="288"/>
        <v>0</v>
      </c>
      <c r="Y394" s="106">
        <f t="shared" si="288"/>
        <v>1939.1043299999999</v>
      </c>
      <c r="Z394" s="46"/>
      <c r="AA394" s="81"/>
    </row>
    <row r="395" spans="1:28" ht="58.5" customHeight="1">
      <c r="A395" s="56" t="s">
        <v>21</v>
      </c>
      <c r="B395" s="57" t="s">
        <v>32</v>
      </c>
      <c r="C395" s="58">
        <v>908</v>
      </c>
      <c r="D395" s="58" t="s">
        <v>23</v>
      </c>
      <c r="E395" s="58" t="s">
        <v>193</v>
      </c>
      <c r="F395" s="58" t="s">
        <v>374</v>
      </c>
      <c r="G395" s="59" t="s">
        <v>33</v>
      </c>
      <c r="H395" s="55">
        <v>1516.6</v>
      </c>
      <c r="I395" s="55"/>
      <c r="J395" s="73">
        <f>1211.4+365.9</f>
        <v>1577.3000000000002</v>
      </c>
      <c r="K395" s="70"/>
      <c r="L395" s="70"/>
      <c r="M395" s="70"/>
      <c r="N395" s="70"/>
      <c r="O395" s="70">
        <v>1658.1</v>
      </c>
      <c r="P395" s="55"/>
      <c r="Q395" s="65"/>
      <c r="R395" s="65"/>
      <c r="S395" s="65"/>
      <c r="T395" s="77">
        <v>1750.3</v>
      </c>
      <c r="U395" s="57"/>
      <c r="V395" s="57"/>
      <c r="W395" s="57"/>
      <c r="X395" s="57"/>
      <c r="Y395" s="106">
        <v>1939.1043299999999</v>
      </c>
      <c r="Z395" s="46"/>
      <c r="AA395" s="81"/>
    </row>
    <row r="396" spans="1:28" ht="17.25" customHeight="1">
      <c r="A396" s="56"/>
      <c r="B396" s="57" t="s">
        <v>148</v>
      </c>
      <c r="C396" s="58">
        <v>908</v>
      </c>
      <c r="D396" s="58" t="s">
        <v>23</v>
      </c>
      <c r="E396" s="58" t="s">
        <v>193</v>
      </c>
      <c r="F396" s="58" t="s">
        <v>149</v>
      </c>
      <c r="G396" s="59"/>
      <c r="H396" s="55"/>
      <c r="I396" s="55"/>
      <c r="J396" s="65">
        <f>J397</f>
        <v>0</v>
      </c>
      <c r="K396" s="65">
        <f>K397</f>
        <v>0</v>
      </c>
      <c r="L396" s="65"/>
      <c r="M396" s="65"/>
      <c r="N396" s="65"/>
      <c r="O396" s="70">
        <f t="shared" ref="O396:Y396" si="289">O397</f>
        <v>0</v>
      </c>
      <c r="P396" s="55">
        <f t="shared" si="289"/>
        <v>0</v>
      </c>
      <c r="Q396" s="70">
        <f t="shared" si="289"/>
        <v>0</v>
      </c>
      <c r="R396" s="70">
        <f t="shared" si="289"/>
        <v>0</v>
      </c>
      <c r="S396" s="70">
        <f t="shared" si="289"/>
        <v>0</v>
      </c>
      <c r="T396" s="76">
        <f t="shared" si="289"/>
        <v>0</v>
      </c>
      <c r="U396" s="55">
        <f t="shared" si="289"/>
        <v>0</v>
      </c>
      <c r="V396" s="57">
        <f t="shared" si="289"/>
        <v>0</v>
      </c>
      <c r="W396" s="57">
        <f t="shared" si="289"/>
        <v>0</v>
      </c>
      <c r="X396" s="55">
        <f t="shared" si="289"/>
        <v>0</v>
      </c>
      <c r="Y396" s="106">
        <f t="shared" si="289"/>
        <v>1041.5999999999999</v>
      </c>
      <c r="Z396" s="46"/>
      <c r="AA396" s="81"/>
    </row>
    <row r="397" spans="1:28" ht="56.25">
      <c r="A397" s="56"/>
      <c r="B397" s="57" t="s">
        <v>32</v>
      </c>
      <c r="C397" s="58">
        <v>908</v>
      </c>
      <c r="D397" s="58" t="s">
        <v>23</v>
      </c>
      <c r="E397" s="58" t="s">
        <v>193</v>
      </c>
      <c r="F397" s="58" t="s">
        <v>149</v>
      </c>
      <c r="G397" s="59">
        <v>100</v>
      </c>
      <c r="H397" s="55"/>
      <c r="I397" s="55"/>
      <c r="J397" s="73"/>
      <c r="K397" s="70"/>
      <c r="L397" s="70"/>
      <c r="M397" s="70"/>
      <c r="N397" s="70"/>
      <c r="O397" s="70"/>
      <c r="P397" s="55">
        <v>0</v>
      </c>
      <c r="Q397" s="65"/>
      <c r="R397" s="65"/>
      <c r="S397" s="70">
        <v>0</v>
      </c>
      <c r="T397" s="77">
        <f>O397+P397+Q397+R397+S397</f>
        <v>0</v>
      </c>
      <c r="U397" s="55"/>
      <c r="V397" s="57"/>
      <c r="W397" s="57"/>
      <c r="X397" s="55"/>
      <c r="Y397" s="106">
        <v>1041.5999999999999</v>
      </c>
      <c r="Z397" s="46"/>
      <c r="AA397" s="81"/>
    </row>
    <row r="398" spans="1:28" ht="39" customHeight="1">
      <c r="A398" s="56"/>
      <c r="B398" s="57" t="s">
        <v>375</v>
      </c>
      <c r="C398" s="58">
        <v>908</v>
      </c>
      <c r="D398" s="58" t="s">
        <v>23</v>
      </c>
      <c r="E398" s="58" t="s">
        <v>140</v>
      </c>
      <c r="F398" s="58" t="s">
        <v>21</v>
      </c>
      <c r="G398" s="59" t="s">
        <v>21</v>
      </c>
      <c r="H398" s="55">
        <f t="shared" ref="H398:K400" si="290">H399</f>
        <v>36078.700000000004</v>
      </c>
      <c r="I398" s="55"/>
      <c r="J398" s="73">
        <f t="shared" si="290"/>
        <v>32143.600000000002</v>
      </c>
      <c r="K398" s="55">
        <f t="shared" si="290"/>
        <v>0</v>
      </c>
      <c r="L398" s="55"/>
      <c r="M398" s="55"/>
      <c r="N398" s="55"/>
      <c r="O398" s="70">
        <f>O399</f>
        <v>34288.1</v>
      </c>
      <c r="P398" s="55">
        <f t="shared" ref="P398:Y400" si="291">P399</f>
        <v>0</v>
      </c>
      <c r="Q398" s="70">
        <f t="shared" si="291"/>
        <v>0</v>
      </c>
      <c r="R398" s="70">
        <f t="shared" si="291"/>
        <v>0</v>
      </c>
      <c r="S398" s="70">
        <f t="shared" si="291"/>
        <v>0</v>
      </c>
      <c r="T398" s="76">
        <f t="shared" si="291"/>
        <v>38097.699999999997</v>
      </c>
      <c r="U398" s="55">
        <f t="shared" si="291"/>
        <v>0</v>
      </c>
      <c r="V398" s="55">
        <f t="shared" si="291"/>
        <v>0</v>
      </c>
      <c r="W398" s="55">
        <f t="shared" si="291"/>
        <v>0</v>
      </c>
      <c r="X398" s="55">
        <f t="shared" si="291"/>
        <v>0</v>
      </c>
      <c r="Y398" s="106">
        <f t="shared" si="291"/>
        <v>43475.712780000002</v>
      </c>
      <c r="Z398" s="46"/>
      <c r="AA398" s="81"/>
    </row>
    <row r="399" spans="1:28">
      <c r="A399" s="56"/>
      <c r="B399" s="57" t="s">
        <v>26</v>
      </c>
      <c r="C399" s="58">
        <v>908</v>
      </c>
      <c r="D399" s="58" t="s">
        <v>23</v>
      </c>
      <c r="E399" s="58" t="s">
        <v>140</v>
      </c>
      <c r="F399" s="58" t="s">
        <v>27</v>
      </c>
      <c r="G399" s="59" t="s">
        <v>21</v>
      </c>
      <c r="H399" s="55">
        <f t="shared" si="290"/>
        <v>36078.700000000004</v>
      </c>
      <c r="I399" s="55"/>
      <c r="J399" s="73">
        <f t="shared" si="290"/>
        <v>32143.600000000002</v>
      </c>
      <c r="K399" s="55">
        <f>K400+K405</f>
        <v>0</v>
      </c>
      <c r="L399" s="55"/>
      <c r="M399" s="55"/>
      <c r="N399" s="55"/>
      <c r="O399" s="70">
        <f t="shared" ref="O399:T399" si="292">O400+O405</f>
        <v>34288.1</v>
      </c>
      <c r="P399" s="55">
        <f t="shared" si="292"/>
        <v>0</v>
      </c>
      <c r="Q399" s="70">
        <f t="shared" si="292"/>
        <v>0</v>
      </c>
      <c r="R399" s="70">
        <f t="shared" si="292"/>
        <v>0</v>
      </c>
      <c r="S399" s="70">
        <f t="shared" si="292"/>
        <v>0</v>
      </c>
      <c r="T399" s="76">
        <f t="shared" si="292"/>
        <v>38097.699999999997</v>
      </c>
      <c r="U399" s="55">
        <f t="shared" ref="U399:Y399" si="293">U400+U405</f>
        <v>0</v>
      </c>
      <c r="V399" s="55">
        <f t="shared" si="293"/>
        <v>0</v>
      </c>
      <c r="W399" s="55">
        <f t="shared" si="293"/>
        <v>0</v>
      </c>
      <c r="X399" s="55">
        <f t="shared" si="293"/>
        <v>0</v>
      </c>
      <c r="Y399" s="106">
        <f t="shared" si="293"/>
        <v>43475.712780000002</v>
      </c>
      <c r="Z399" s="46"/>
      <c r="AA399" s="81"/>
    </row>
    <row r="400" spans="1:28">
      <c r="A400" s="56" t="s">
        <v>21</v>
      </c>
      <c r="B400" s="57" t="s">
        <v>376</v>
      </c>
      <c r="C400" s="58">
        <v>908</v>
      </c>
      <c r="D400" s="58" t="s">
        <v>23</v>
      </c>
      <c r="E400" s="58" t="s">
        <v>140</v>
      </c>
      <c r="F400" s="58" t="s">
        <v>377</v>
      </c>
      <c r="G400" s="59"/>
      <c r="H400" s="55">
        <f t="shared" si="290"/>
        <v>36078.700000000004</v>
      </c>
      <c r="I400" s="55"/>
      <c r="J400" s="73">
        <f t="shared" si="290"/>
        <v>32143.600000000002</v>
      </c>
      <c r="K400" s="55">
        <f t="shared" si="290"/>
        <v>0</v>
      </c>
      <c r="L400" s="55"/>
      <c r="M400" s="55"/>
      <c r="N400" s="55"/>
      <c r="O400" s="70">
        <f>O401</f>
        <v>34288.1</v>
      </c>
      <c r="P400" s="55">
        <f t="shared" si="291"/>
        <v>0</v>
      </c>
      <c r="Q400" s="70">
        <f t="shared" si="291"/>
        <v>0</v>
      </c>
      <c r="R400" s="70">
        <f t="shared" si="291"/>
        <v>0</v>
      </c>
      <c r="S400" s="70">
        <f t="shared" si="291"/>
        <v>0</v>
      </c>
      <c r="T400" s="76">
        <f t="shared" si="291"/>
        <v>38097.699999999997</v>
      </c>
      <c r="U400" s="55">
        <f t="shared" si="291"/>
        <v>0</v>
      </c>
      <c r="V400" s="55">
        <f t="shared" si="291"/>
        <v>0</v>
      </c>
      <c r="W400" s="55">
        <f t="shared" si="291"/>
        <v>0</v>
      </c>
      <c r="X400" s="55">
        <f t="shared" si="291"/>
        <v>0</v>
      </c>
      <c r="Y400" s="106">
        <f t="shared" si="291"/>
        <v>42287.507580000005</v>
      </c>
      <c r="Z400" s="46"/>
      <c r="AA400" s="81"/>
    </row>
    <row r="401" spans="1:27">
      <c r="A401" s="56" t="s">
        <v>21</v>
      </c>
      <c r="B401" s="57" t="s">
        <v>34</v>
      </c>
      <c r="C401" s="58">
        <v>908</v>
      </c>
      <c r="D401" s="58" t="s">
        <v>23</v>
      </c>
      <c r="E401" s="58" t="s">
        <v>140</v>
      </c>
      <c r="F401" s="58" t="s">
        <v>378</v>
      </c>
      <c r="G401" s="59"/>
      <c r="H401" s="55">
        <f>H402+H403+H404</f>
        <v>36078.700000000004</v>
      </c>
      <c r="I401" s="55"/>
      <c r="J401" s="73">
        <f>J402+J403+J404</f>
        <v>32143.600000000002</v>
      </c>
      <c r="K401" s="55">
        <f>K402+K403+K404</f>
        <v>0</v>
      </c>
      <c r="L401" s="55"/>
      <c r="M401" s="55"/>
      <c r="N401" s="55"/>
      <c r="O401" s="70">
        <f t="shared" ref="O401:T401" si="294">O402+O403+O404</f>
        <v>34288.1</v>
      </c>
      <c r="P401" s="55">
        <f t="shared" si="294"/>
        <v>0</v>
      </c>
      <c r="Q401" s="70">
        <f t="shared" si="294"/>
        <v>0</v>
      </c>
      <c r="R401" s="70">
        <f t="shared" si="294"/>
        <v>0</v>
      </c>
      <c r="S401" s="70">
        <f t="shared" si="294"/>
        <v>0</v>
      </c>
      <c r="T401" s="76">
        <f t="shared" si="294"/>
        <v>38097.699999999997</v>
      </c>
      <c r="U401" s="55">
        <f t="shared" ref="U401:Y401" si="295">U402+U403+U404</f>
        <v>0</v>
      </c>
      <c r="V401" s="55">
        <f t="shared" si="295"/>
        <v>0</v>
      </c>
      <c r="W401" s="55">
        <f t="shared" si="295"/>
        <v>0</v>
      </c>
      <c r="X401" s="55">
        <f t="shared" si="295"/>
        <v>0</v>
      </c>
      <c r="Y401" s="106">
        <f t="shared" si="295"/>
        <v>42287.507580000005</v>
      </c>
      <c r="Z401" s="46"/>
      <c r="AA401" s="81"/>
    </row>
    <row r="402" spans="1:27" ht="60" customHeight="1">
      <c r="A402" s="56" t="s">
        <v>21</v>
      </c>
      <c r="B402" s="57" t="s">
        <v>32</v>
      </c>
      <c r="C402" s="58">
        <v>908</v>
      </c>
      <c r="D402" s="58" t="s">
        <v>23</v>
      </c>
      <c r="E402" s="58" t="s">
        <v>140</v>
      </c>
      <c r="F402" s="58" t="s">
        <v>378</v>
      </c>
      <c r="G402" s="59" t="s">
        <v>33</v>
      </c>
      <c r="H402" s="55">
        <f>30426.3</f>
        <v>30426.3</v>
      </c>
      <c r="I402" s="55"/>
      <c r="J402" s="73">
        <f>23295.9+7035.3+0.7</f>
        <v>30331.9</v>
      </c>
      <c r="K402" s="70"/>
      <c r="L402" s="70"/>
      <c r="M402" s="70"/>
      <c r="N402" s="70"/>
      <c r="O402" s="70">
        <v>32290.9</v>
      </c>
      <c r="P402" s="55">
        <v>0</v>
      </c>
      <c r="Q402" s="70"/>
      <c r="R402" s="70"/>
      <c r="S402" s="70"/>
      <c r="T402" s="77">
        <f>35528.5+64</f>
        <v>35592.5</v>
      </c>
      <c r="U402" s="55"/>
      <c r="V402" s="57"/>
      <c r="W402" s="57"/>
      <c r="X402" s="57"/>
      <c r="Y402" s="106">
        <v>39615.834580000002</v>
      </c>
      <c r="Z402" s="46"/>
      <c r="AA402" s="81"/>
    </row>
    <row r="403" spans="1:27" ht="23.25" customHeight="1">
      <c r="A403" s="56"/>
      <c r="B403" s="57" t="s">
        <v>36</v>
      </c>
      <c r="C403" s="58">
        <v>908</v>
      </c>
      <c r="D403" s="58" t="s">
        <v>23</v>
      </c>
      <c r="E403" s="58" t="s">
        <v>140</v>
      </c>
      <c r="F403" s="58" t="s">
        <v>378</v>
      </c>
      <c r="G403" s="59" t="s">
        <v>37</v>
      </c>
      <c r="H403" s="55">
        <v>5160.6000000000004</v>
      </c>
      <c r="I403" s="55"/>
      <c r="J403" s="73">
        <f>302+281.1+523.6+25.5+370</f>
        <v>1502.2</v>
      </c>
      <c r="K403" s="70">
        <v>0</v>
      </c>
      <c r="L403" s="70"/>
      <c r="M403" s="70"/>
      <c r="N403" s="70"/>
      <c r="O403" s="70">
        <f>1686.6</f>
        <v>1686.6</v>
      </c>
      <c r="P403" s="55">
        <v>0</v>
      </c>
      <c r="Q403" s="70">
        <v>0</v>
      </c>
      <c r="R403" s="65"/>
      <c r="S403" s="65"/>
      <c r="T403" s="77">
        <f>1924.5+73.1+205.9</f>
        <v>2203.5</v>
      </c>
      <c r="U403" s="55"/>
      <c r="V403" s="57"/>
      <c r="W403" s="57"/>
      <c r="X403" s="57"/>
      <c r="Y403" s="106">
        <v>2280.2829999999999</v>
      </c>
      <c r="Z403" s="46"/>
      <c r="AA403" s="81"/>
    </row>
    <row r="404" spans="1:27" ht="21" customHeight="1">
      <c r="A404" s="56"/>
      <c r="B404" s="57" t="s">
        <v>38</v>
      </c>
      <c r="C404" s="58">
        <v>908</v>
      </c>
      <c r="D404" s="58" t="s">
        <v>23</v>
      </c>
      <c r="E404" s="58" t="s">
        <v>140</v>
      </c>
      <c r="F404" s="58" t="s">
        <v>378</v>
      </c>
      <c r="G404" s="59" t="s">
        <v>39</v>
      </c>
      <c r="H404" s="55">
        <v>491.8</v>
      </c>
      <c r="I404" s="55"/>
      <c r="J404" s="73">
        <f>226.1+64.7+18.7</f>
        <v>309.5</v>
      </c>
      <c r="K404" s="70"/>
      <c r="L404" s="70"/>
      <c r="M404" s="70"/>
      <c r="N404" s="70"/>
      <c r="O404" s="70">
        <v>310.60000000000002</v>
      </c>
      <c r="P404" s="55">
        <v>0</v>
      </c>
      <c r="Q404" s="70">
        <v>0</v>
      </c>
      <c r="R404" s="70"/>
      <c r="S404" s="70"/>
      <c r="T404" s="77">
        <v>301.7</v>
      </c>
      <c r="U404" s="55"/>
      <c r="V404" s="55"/>
      <c r="W404" s="57"/>
      <c r="X404" s="57"/>
      <c r="Y404" s="106">
        <v>391.39</v>
      </c>
      <c r="Z404" s="46"/>
      <c r="AA404" s="81"/>
    </row>
    <row r="405" spans="1:27" ht="42.95" customHeight="1">
      <c r="A405" s="56"/>
      <c r="B405" s="57" t="s">
        <v>148</v>
      </c>
      <c r="C405" s="58">
        <v>908</v>
      </c>
      <c r="D405" s="58" t="s">
        <v>23</v>
      </c>
      <c r="E405" s="58" t="s">
        <v>140</v>
      </c>
      <c r="F405" s="58" t="s">
        <v>149</v>
      </c>
      <c r="G405" s="59"/>
      <c r="H405" s="55"/>
      <c r="I405" s="55"/>
      <c r="J405" s="73"/>
      <c r="K405" s="70">
        <f>K406</f>
        <v>0</v>
      </c>
      <c r="L405" s="70"/>
      <c r="M405" s="70"/>
      <c r="N405" s="70"/>
      <c r="O405" s="70">
        <f t="shared" ref="O405:Y405" si="296">O406</f>
        <v>0</v>
      </c>
      <c r="P405" s="55">
        <f t="shared" si="296"/>
        <v>0</v>
      </c>
      <c r="Q405" s="70">
        <f t="shared" si="296"/>
        <v>0</v>
      </c>
      <c r="R405" s="70">
        <f t="shared" si="296"/>
        <v>0</v>
      </c>
      <c r="S405" s="70">
        <f t="shared" si="296"/>
        <v>0</v>
      </c>
      <c r="T405" s="76">
        <f t="shared" si="296"/>
        <v>0</v>
      </c>
      <c r="U405" s="55">
        <f t="shared" si="296"/>
        <v>0</v>
      </c>
      <c r="V405" s="57">
        <f t="shared" si="296"/>
        <v>0</v>
      </c>
      <c r="W405" s="57">
        <f t="shared" si="296"/>
        <v>0</v>
      </c>
      <c r="X405" s="57">
        <f t="shared" si="296"/>
        <v>0</v>
      </c>
      <c r="Y405" s="106">
        <f t="shared" si="296"/>
        <v>1188.2052000000001</v>
      </c>
      <c r="Z405" s="46"/>
      <c r="AA405" s="81"/>
    </row>
    <row r="406" spans="1:27" ht="56.25">
      <c r="A406" s="56"/>
      <c r="B406" s="57" t="s">
        <v>32</v>
      </c>
      <c r="C406" s="58">
        <v>908</v>
      </c>
      <c r="D406" s="58" t="s">
        <v>23</v>
      </c>
      <c r="E406" s="58" t="s">
        <v>140</v>
      </c>
      <c r="F406" s="58" t="s">
        <v>149</v>
      </c>
      <c r="G406" s="59">
        <v>100</v>
      </c>
      <c r="H406" s="55"/>
      <c r="I406" s="55"/>
      <c r="J406" s="73"/>
      <c r="K406" s="70"/>
      <c r="L406" s="70"/>
      <c r="M406" s="70"/>
      <c r="N406" s="70"/>
      <c r="O406" s="70"/>
      <c r="P406" s="55">
        <v>0</v>
      </c>
      <c r="Q406" s="65">
        <v>0</v>
      </c>
      <c r="R406" s="65"/>
      <c r="S406" s="70">
        <v>0</v>
      </c>
      <c r="T406" s="77"/>
      <c r="U406" s="55"/>
      <c r="V406" s="57"/>
      <c r="W406" s="57"/>
      <c r="X406" s="57"/>
      <c r="Y406" s="106">
        <v>1188.2052000000001</v>
      </c>
      <c r="Z406" s="46"/>
      <c r="AA406" s="81"/>
    </row>
    <row r="407" spans="1:27" hidden="1">
      <c r="A407" s="56"/>
      <c r="B407" s="57" t="s">
        <v>379</v>
      </c>
      <c r="C407" s="58">
        <v>908</v>
      </c>
      <c r="D407" s="83" t="s">
        <v>23</v>
      </c>
      <c r="E407" s="83" t="s">
        <v>200</v>
      </c>
      <c r="F407" s="58"/>
      <c r="G407" s="59"/>
      <c r="H407" s="55">
        <f>H408</f>
        <v>50</v>
      </c>
      <c r="I407" s="55"/>
      <c r="J407" s="73">
        <f>J408</f>
        <v>4518</v>
      </c>
      <c r="K407" s="55">
        <f>K408</f>
        <v>0</v>
      </c>
      <c r="L407" s="55"/>
      <c r="M407" s="55"/>
      <c r="N407" s="55"/>
      <c r="O407" s="70">
        <f>O408</f>
        <v>489</v>
      </c>
      <c r="P407" s="55">
        <f t="shared" ref="P407:Y408" si="297">P408</f>
        <v>0</v>
      </c>
      <c r="Q407" s="70">
        <f t="shared" si="297"/>
        <v>0</v>
      </c>
      <c r="R407" s="70">
        <f t="shared" si="297"/>
        <v>0</v>
      </c>
      <c r="S407" s="70">
        <f t="shared" si="297"/>
        <v>0</v>
      </c>
      <c r="T407" s="76">
        <f t="shared" si="297"/>
        <v>1584.6</v>
      </c>
      <c r="U407" s="55">
        <f t="shared" si="297"/>
        <v>0</v>
      </c>
      <c r="V407" s="55">
        <f t="shared" si="297"/>
        <v>0</v>
      </c>
      <c r="W407" s="55">
        <f t="shared" si="297"/>
        <v>0</v>
      </c>
      <c r="X407" s="55">
        <f t="shared" si="297"/>
        <v>0</v>
      </c>
      <c r="Y407" s="106">
        <f t="shared" si="297"/>
        <v>0</v>
      </c>
      <c r="Z407" s="46"/>
      <c r="AA407" s="81"/>
    </row>
    <row r="408" spans="1:27" hidden="1">
      <c r="A408" s="56"/>
      <c r="B408" s="57" t="s">
        <v>26</v>
      </c>
      <c r="C408" s="58">
        <v>908</v>
      </c>
      <c r="D408" s="58" t="s">
        <v>23</v>
      </c>
      <c r="E408" s="83" t="s">
        <v>200</v>
      </c>
      <c r="F408" s="58" t="s">
        <v>27</v>
      </c>
      <c r="G408" s="59" t="s">
        <v>21</v>
      </c>
      <c r="H408" s="55">
        <f>H409</f>
        <v>50</v>
      </c>
      <c r="I408" s="55"/>
      <c r="J408" s="73">
        <f>J409</f>
        <v>4518</v>
      </c>
      <c r="K408" s="55">
        <f>K409</f>
        <v>0</v>
      </c>
      <c r="L408" s="55"/>
      <c r="M408" s="55"/>
      <c r="N408" s="55"/>
      <c r="O408" s="70">
        <f>O409</f>
        <v>489</v>
      </c>
      <c r="P408" s="55">
        <f t="shared" si="297"/>
        <v>0</v>
      </c>
      <c r="Q408" s="70">
        <f t="shared" si="297"/>
        <v>0</v>
      </c>
      <c r="R408" s="70">
        <f t="shared" si="297"/>
        <v>0</v>
      </c>
      <c r="S408" s="70">
        <f t="shared" si="297"/>
        <v>0</v>
      </c>
      <c r="T408" s="76">
        <f t="shared" si="297"/>
        <v>1584.6</v>
      </c>
      <c r="U408" s="55">
        <f t="shared" si="297"/>
        <v>0</v>
      </c>
      <c r="V408" s="55">
        <f t="shared" si="297"/>
        <v>0</v>
      </c>
      <c r="W408" s="55">
        <f t="shared" si="297"/>
        <v>0</v>
      </c>
      <c r="X408" s="55">
        <f t="shared" si="297"/>
        <v>0</v>
      </c>
      <c r="Y408" s="106">
        <f t="shared" si="297"/>
        <v>0</v>
      </c>
      <c r="Z408" s="46"/>
      <c r="AA408" s="81"/>
    </row>
    <row r="409" spans="1:27" ht="18.95" hidden="1" customHeight="1">
      <c r="A409" s="56"/>
      <c r="B409" s="57" t="s">
        <v>380</v>
      </c>
      <c r="C409" s="58">
        <v>908</v>
      </c>
      <c r="D409" s="83" t="s">
        <v>23</v>
      </c>
      <c r="E409" s="83" t="s">
        <v>200</v>
      </c>
      <c r="F409" s="58" t="s">
        <v>381</v>
      </c>
      <c r="G409" s="59"/>
      <c r="H409" s="55">
        <f>H412+H415</f>
        <v>50</v>
      </c>
      <c r="I409" s="55"/>
      <c r="J409" s="73">
        <f>J410+J412+J415</f>
        <v>4518</v>
      </c>
      <c r="K409" s="55">
        <f>K410+K412+K415</f>
        <v>0</v>
      </c>
      <c r="L409" s="55"/>
      <c r="M409" s="55"/>
      <c r="N409" s="55"/>
      <c r="O409" s="70">
        <f t="shared" ref="O409:T409" si="298">O410+O412+O415</f>
        <v>489</v>
      </c>
      <c r="P409" s="55">
        <f t="shared" si="298"/>
        <v>0</v>
      </c>
      <c r="Q409" s="70">
        <f t="shared" si="298"/>
        <v>0</v>
      </c>
      <c r="R409" s="70">
        <f t="shared" si="298"/>
        <v>0</v>
      </c>
      <c r="S409" s="70">
        <f t="shared" si="298"/>
        <v>0</v>
      </c>
      <c r="T409" s="76">
        <f t="shared" si="298"/>
        <v>1584.6</v>
      </c>
      <c r="U409" s="55">
        <f t="shared" ref="U409:Y409" si="299">U410+U412+U415</f>
        <v>0</v>
      </c>
      <c r="V409" s="55">
        <f t="shared" si="299"/>
        <v>0</v>
      </c>
      <c r="W409" s="55">
        <f t="shared" si="299"/>
        <v>0</v>
      </c>
      <c r="X409" s="55">
        <f t="shared" si="299"/>
        <v>0</v>
      </c>
      <c r="Y409" s="106">
        <f t="shared" si="299"/>
        <v>0</v>
      </c>
      <c r="Z409" s="46"/>
      <c r="AA409" s="81"/>
    </row>
    <row r="410" spans="1:27" ht="15" hidden="1" customHeight="1">
      <c r="A410" s="56"/>
      <c r="B410" s="57" t="s">
        <v>382</v>
      </c>
      <c r="C410" s="58">
        <v>908</v>
      </c>
      <c r="D410" s="83" t="s">
        <v>23</v>
      </c>
      <c r="E410" s="83" t="s">
        <v>200</v>
      </c>
      <c r="F410" s="58" t="s">
        <v>383</v>
      </c>
      <c r="G410" s="59"/>
      <c r="H410" s="55"/>
      <c r="I410" s="55"/>
      <c r="J410" s="73">
        <f>J411</f>
        <v>0</v>
      </c>
      <c r="K410" s="55">
        <f>K411</f>
        <v>0</v>
      </c>
      <c r="L410" s="55"/>
      <c r="M410" s="55"/>
      <c r="N410" s="55"/>
      <c r="O410" s="70">
        <f t="shared" ref="O410:Y410" si="300">O411</f>
        <v>0</v>
      </c>
      <c r="P410" s="55">
        <f t="shared" si="300"/>
        <v>0</v>
      </c>
      <c r="Q410" s="70">
        <f t="shared" si="300"/>
        <v>0</v>
      </c>
      <c r="R410" s="70">
        <f t="shared" si="300"/>
        <v>0</v>
      </c>
      <c r="S410" s="70">
        <f t="shared" si="300"/>
        <v>0</v>
      </c>
      <c r="T410" s="76">
        <f t="shared" si="300"/>
        <v>0</v>
      </c>
      <c r="U410" s="55">
        <f t="shared" si="300"/>
        <v>0</v>
      </c>
      <c r="V410" s="55">
        <f t="shared" si="300"/>
        <v>0</v>
      </c>
      <c r="W410" s="55">
        <f t="shared" si="300"/>
        <v>0</v>
      </c>
      <c r="X410" s="55">
        <f t="shared" si="300"/>
        <v>0</v>
      </c>
      <c r="Y410" s="106">
        <f t="shared" si="300"/>
        <v>0</v>
      </c>
      <c r="Z410" s="46"/>
      <c r="AA410" s="81"/>
    </row>
    <row r="411" spans="1:27" ht="37.5" hidden="1">
      <c r="A411" s="56"/>
      <c r="B411" s="57" t="s">
        <v>36</v>
      </c>
      <c r="C411" s="58">
        <v>908</v>
      </c>
      <c r="D411" s="58" t="s">
        <v>23</v>
      </c>
      <c r="E411" s="83" t="s">
        <v>200</v>
      </c>
      <c r="F411" s="58" t="s">
        <v>383</v>
      </c>
      <c r="G411" s="59" t="s">
        <v>37</v>
      </c>
      <c r="H411" s="55"/>
      <c r="I411" s="55"/>
      <c r="J411" s="73"/>
      <c r="K411" s="70"/>
      <c r="L411" s="70"/>
      <c r="M411" s="70"/>
      <c r="N411" s="70"/>
      <c r="O411" s="70">
        <f>J411+K411+M411+N411+L411</f>
        <v>0</v>
      </c>
      <c r="P411" s="55"/>
      <c r="Q411" s="65"/>
      <c r="R411" s="65"/>
      <c r="S411" s="65"/>
      <c r="T411" s="77"/>
      <c r="U411" s="86"/>
      <c r="V411" s="86"/>
      <c r="W411" s="86"/>
      <c r="X411" s="86"/>
      <c r="Y411" s="106">
        <f t="shared" ref="Y411" si="301">T411+U411+V411+W411+X411</f>
        <v>0</v>
      </c>
      <c r="Z411" s="46"/>
      <c r="AA411" s="81"/>
    </row>
    <row r="412" spans="1:27" ht="23.25" hidden="1" customHeight="1">
      <c r="A412" s="56"/>
      <c r="B412" s="57" t="s">
        <v>384</v>
      </c>
      <c r="C412" s="58">
        <v>908</v>
      </c>
      <c r="D412" s="83" t="s">
        <v>23</v>
      </c>
      <c r="E412" s="83" t="s">
        <v>200</v>
      </c>
      <c r="F412" s="58" t="s">
        <v>385</v>
      </c>
      <c r="G412" s="59"/>
      <c r="H412" s="55">
        <f>H413</f>
        <v>40</v>
      </c>
      <c r="I412" s="55"/>
      <c r="J412" s="73">
        <f>J413</f>
        <v>4508</v>
      </c>
      <c r="K412" s="70"/>
      <c r="L412" s="70"/>
      <c r="M412" s="70"/>
      <c r="N412" s="70"/>
      <c r="O412" s="70">
        <f t="shared" ref="O412:T412" si="302">O413+O414</f>
        <v>479</v>
      </c>
      <c r="P412" s="55">
        <f t="shared" si="302"/>
        <v>0</v>
      </c>
      <c r="Q412" s="70">
        <f t="shared" si="302"/>
        <v>0</v>
      </c>
      <c r="R412" s="70">
        <f t="shared" si="302"/>
        <v>0</v>
      </c>
      <c r="S412" s="70">
        <f t="shared" si="302"/>
        <v>0</v>
      </c>
      <c r="T412" s="76">
        <f t="shared" si="302"/>
        <v>1574.6</v>
      </c>
      <c r="U412" s="55">
        <f t="shared" ref="U412:Y412" si="303">U413+U414</f>
        <v>0</v>
      </c>
      <c r="V412" s="55">
        <f t="shared" si="303"/>
        <v>0</v>
      </c>
      <c r="W412" s="55">
        <f t="shared" si="303"/>
        <v>0</v>
      </c>
      <c r="X412" s="55">
        <f t="shared" si="303"/>
        <v>0</v>
      </c>
      <c r="Y412" s="106">
        <f t="shared" si="303"/>
        <v>0</v>
      </c>
      <c r="Z412" s="46"/>
      <c r="AA412" s="81"/>
    </row>
    <row r="413" spans="1:27" ht="20.25" hidden="1" customHeight="1">
      <c r="A413" s="56"/>
      <c r="B413" s="57" t="s">
        <v>36</v>
      </c>
      <c r="C413" s="58">
        <v>908</v>
      </c>
      <c r="D413" s="58" t="s">
        <v>23</v>
      </c>
      <c r="E413" s="83" t="s">
        <v>200</v>
      </c>
      <c r="F413" s="58" t="s">
        <v>385</v>
      </c>
      <c r="G413" s="59" t="s">
        <v>37</v>
      </c>
      <c r="H413" s="55">
        <v>40</v>
      </c>
      <c r="I413" s="55"/>
      <c r="J413" s="73">
        <v>4508</v>
      </c>
      <c r="K413" s="70"/>
      <c r="L413" s="70"/>
      <c r="M413" s="70"/>
      <c r="N413" s="70"/>
      <c r="O413" s="70">
        <v>479</v>
      </c>
      <c r="P413" s="55">
        <v>0</v>
      </c>
      <c r="Q413" s="70"/>
      <c r="R413" s="70"/>
      <c r="S413" s="70"/>
      <c r="T413" s="77">
        <v>1574.6</v>
      </c>
      <c r="U413" s="55"/>
      <c r="V413" s="57"/>
      <c r="W413" s="57"/>
      <c r="X413" s="57"/>
      <c r="Y413" s="106">
        <v>0</v>
      </c>
      <c r="Z413" s="46"/>
      <c r="AA413" s="81"/>
    </row>
    <row r="414" spans="1:27" hidden="1">
      <c r="A414" s="56"/>
      <c r="B414" s="57" t="s">
        <v>38</v>
      </c>
      <c r="C414" s="58">
        <v>908</v>
      </c>
      <c r="D414" s="58" t="s">
        <v>23</v>
      </c>
      <c r="E414" s="83" t="s">
        <v>200</v>
      </c>
      <c r="F414" s="58" t="s">
        <v>385</v>
      </c>
      <c r="G414" s="59">
        <v>800</v>
      </c>
      <c r="H414" s="55"/>
      <c r="I414" s="55"/>
      <c r="J414" s="73"/>
      <c r="K414" s="70"/>
      <c r="L414" s="70"/>
      <c r="M414" s="70"/>
      <c r="N414" s="70"/>
      <c r="O414" s="70">
        <v>0</v>
      </c>
      <c r="P414" s="55">
        <v>0</v>
      </c>
      <c r="Q414" s="70"/>
      <c r="R414" s="70"/>
      <c r="S414" s="70"/>
      <c r="T414" s="77">
        <f>P414+Q414+R414+S414+O414</f>
        <v>0</v>
      </c>
      <c r="U414" s="57"/>
      <c r="V414" s="57"/>
      <c r="W414" s="57"/>
      <c r="X414" s="57"/>
      <c r="Y414" s="106"/>
      <c r="Z414" s="46"/>
      <c r="AA414" s="81"/>
    </row>
    <row r="415" spans="1:27" ht="39" hidden="1" customHeight="1">
      <c r="A415" s="56"/>
      <c r="B415" s="57" t="s">
        <v>386</v>
      </c>
      <c r="C415" s="58">
        <v>908</v>
      </c>
      <c r="D415" s="83" t="s">
        <v>23</v>
      </c>
      <c r="E415" s="83" t="s">
        <v>200</v>
      </c>
      <c r="F415" s="58" t="s">
        <v>387</v>
      </c>
      <c r="G415" s="59"/>
      <c r="H415" s="55">
        <f>H416</f>
        <v>10</v>
      </c>
      <c r="I415" s="55"/>
      <c r="J415" s="73">
        <f>J416</f>
        <v>10</v>
      </c>
      <c r="K415" s="70"/>
      <c r="L415" s="70"/>
      <c r="M415" s="70"/>
      <c r="N415" s="70"/>
      <c r="O415" s="70">
        <f t="shared" ref="O415:Y415" si="304">O416</f>
        <v>10</v>
      </c>
      <c r="P415" s="55">
        <f t="shared" si="304"/>
        <v>0</v>
      </c>
      <c r="Q415" s="70">
        <f t="shared" si="304"/>
        <v>0</v>
      </c>
      <c r="R415" s="70">
        <f t="shared" si="304"/>
        <v>0</v>
      </c>
      <c r="S415" s="70">
        <f t="shared" si="304"/>
        <v>0</v>
      </c>
      <c r="T415" s="76">
        <f t="shared" si="304"/>
        <v>10</v>
      </c>
      <c r="U415" s="55">
        <f t="shared" si="304"/>
        <v>0</v>
      </c>
      <c r="V415" s="55">
        <f t="shared" si="304"/>
        <v>0</v>
      </c>
      <c r="W415" s="55">
        <f t="shared" si="304"/>
        <v>0</v>
      </c>
      <c r="X415" s="55">
        <f t="shared" si="304"/>
        <v>0</v>
      </c>
      <c r="Y415" s="106">
        <f t="shared" si="304"/>
        <v>0</v>
      </c>
      <c r="Z415" s="46"/>
      <c r="AA415" s="81"/>
    </row>
    <row r="416" spans="1:27" ht="27" hidden="1" customHeight="1">
      <c r="A416" s="56"/>
      <c r="B416" s="57" t="s">
        <v>36</v>
      </c>
      <c r="C416" s="58">
        <v>908</v>
      </c>
      <c r="D416" s="58" t="s">
        <v>23</v>
      </c>
      <c r="E416" s="83" t="s">
        <v>200</v>
      </c>
      <c r="F416" s="58" t="s">
        <v>387</v>
      </c>
      <c r="G416" s="59" t="s">
        <v>37</v>
      </c>
      <c r="H416" s="55">
        <v>10</v>
      </c>
      <c r="I416" s="55"/>
      <c r="J416" s="73">
        <v>10</v>
      </c>
      <c r="K416" s="70"/>
      <c r="L416" s="70"/>
      <c r="M416" s="70"/>
      <c r="N416" s="70"/>
      <c r="O416" s="70">
        <v>10</v>
      </c>
      <c r="P416" s="55">
        <v>0</v>
      </c>
      <c r="Q416" s="70">
        <v>0</v>
      </c>
      <c r="R416" s="65"/>
      <c r="S416" s="65"/>
      <c r="T416" s="77">
        <v>10</v>
      </c>
      <c r="U416" s="57"/>
      <c r="V416" s="57"/>
      <c r="W416" s="57"/>
      <c r="X416" s="57"/>
      <c r="Y416" s="106">
        <v>0</v>
      </c>
      <c r="Z416" s="46"/>
      <c r="AA416" s="81"/>
    </row>
    <row r="417" spans="1:27">
      <c r="A417" s="56"/>
      <c r="B417" s="57" t="s">
        <v>40</v>
      </c>
      <c r="C417" s="58">
        <v>908</v>
      </c>
      <c r="D417" s="83" t="s">
        <v>23</v>
      </c>
      <c r="E417" s="83" t="s">
        <v>176</v>
      </c>
      <c r="F417" s="58"/>
      <c r="G417" s="59"/>
      <c r="H417" s="55">
        <f>H418+H421+H436+H445+H448+H471+H456+H442</f>
        <v>3232.1</v>
      </c>
      <c r="I417" s="55">
        <f>I418+I421+I436+I445+I448+I471+I456+I442</f>
        <v>198</v>
      </c>
      <c r="J417" s="73">
        <f t="shared" ref="J417:S417" si="305">J418+J421+J436+J445+J448+J471+J456+J442+J439</f>
        <v>10294.200000000001</v>
      </c>
      <c r="K417" s="55">
        <f t="shared" si="305"/>
        <v>198</v>
      </c>
      <c r="L417" s="73">
        <f t="shared" si="305"/>
        <v>0</v>
      </c>
      <c r="M417" s="73">
        <f t="shared" si="305"/>
        <v>0</v>
      </c>
      <c r="N417" s="73">
        <f t="shared" si="305"/>
        <v>0</v>
      </c>
      <c r="O417" s="70">
        <f>O418+O421+O436+O445+O448+O471+O456+O442+O439+O431</f>
        <v>16633.399999999998</v>
      </c>
      <c r="P417" s="55">
        <f>P418+P421+P436+P445+P448+P471+P456+P442+P439+P431</f>
        <v>198</v>
      </c>
      <c r="Q417" s="70">
        <f t="shared" si="305"/>
        <v>0</v>
      </c>
      <c r="R417" s="70">
        <f t="shared" si="305"/>
        <v>0</v>
      </c>
      <c r="S417" s="70">
        <f t="shared" si="305"/>
        <v>0</v>
      </c>
      <c r="T417" s="76">
        <f t="shared" ref="T417:Y417" si="306">T418+T421+T436+T445+T448+T471+T456+T442+T439+T431+T428</f>
        <v>14810.399999999998</v>
      </c>
      <c r="U417" s="55">
        <f t="shared" si="306"/>
        <v>0</v>
      </c>
      <c r="V417" s="55">
        <f t="shared" si="306"/>
        <v>0</v>
      </c>
      <c r="W417" s="55">
        <f t="shared" si="306"/>
        <v>0</v>
      </c>
      <c r="X417" s="55">
        <f t="shared" si="306"/>
        <v>198</v>
      </c>
      <c r="Y417" s="106">
        <f t="shared" si="306"/>
        <v>14442.38186</v>
      </c>
      <c r="Z417" s="46"/>
      <c r="AA417" s="81"/>
    </row>
    <row r="418" spans="1:27" ht="45.75" customHeight="1">
      <c r="A418" s="56"/>
      <c r="B418" s="62" t="s">
        <v>388</v>
      </c>
      <c r="C418" s="58">
        <v>908</v>
      </c>
      <c r="D418" s="83" t="s">
        <v>23</v>
      </c>
      <c r="E418" s="83" t="s">
        <v>176</v>
      </c>
      <c r="F418" s="58" t="s">
        <v>132</v>
      </c>
      <c r="G418" s="59" t="s">
        <v>21</v>
      </c>
      <c r="H418" s="55">
        <f t="shared" ref="H418:K419" si="307">H419</f>
        <v>15</v>
      </c>
      <c r="I418" s="55">
        <f t="shared" si="307"/>
        <v>0</v>
      </c>
      <c r="J418" s="73">
        <f t="shared" si="307"/>
        <v>30</v>
      </c>
      <c r="K418" s="55">
        <f t="shared" si="307"/>
        <v>0</v>
      </c>
      <c r="L418" s="55"/>
      <c r="M418" s="55"/>
      <c r="N418" s="55"/>
      <c r="O418" s="70">
        <f>O419</f>
        <v>918.7</v>
      </c>
      <c r="P418" s="55">
        <f t="shared" ref="P418:Y419" si="308">P419</f>
        <v>0</v>
      </c>
      <c r="Q418" s="85">
        <f t="shared" si="308"/>
        <v>0</v>
      </c>
      <c r="R418" s="70">
        <f t="shared" si="308"/>
        <v>0</v>
      </c>
      <c r="S418" s="70">
        <f t="shared" si="308"/>
        <v>0</v>
      </c>
      <c r="T418" s="76">
        <f t="shared" si="308"/>
        <v>60</v>
      </c>
      <c r="U418" s="55">
        <f t="shared" si="308"/>
        <v>0</v>
      </c>
      <c r="V418" s="55">
        <f t="shared" si="308"/>
        <v>0</v>
      </c>
      <c r="W418" s="55">
        <f t="shared" si="308"/>
        <v>0</v>
      </c>
      <c r="X418" s="55">
        <f t="shared" si="308"/>
        <v>0</v>
      </c>
      <c r="Y418" s="106">
        <f t="shared" si="308"/>
        <v>60</v>
      </c>
      <c r="Z418" s="46"/>
      <c r="AA418" s="81"/>
    </row>
    <row r="419" spans="1:27" ht="37.5">
      <c r="A419" s="56"/>
      <c r="B419" s="57" t="s">
        <v>133</v>
      </c>
      <c r="C419" s="58">
        <v>908</v>
      </c>
      <c r="D419" s="83" t="s">
        <v>23</v>
      </c>
      <c r="E419" s="83" t="s">
        <v>176</v>
      </c>
      <c r="F419" s="58" t="s">
        <v>134</v>
      </c>
      <c r="G419" s="59" t="s">
        <v>21</v>
      </c>
      <c r="H419" s="55">
        <f t="shared" si="307"/>
        <v>15</v>
      </c>
      <c r="I419" s="55">
        <f t="shared" si="307"/>
        <v>0</v>
      </c>
      <c r="J419" s="73">
        <f t="shared" si="307"/>
        <v>30</v>
      </c>
      <c r="K419" s="55">
        <f t="shared" si="307"/>
        <v>0</v>
      </c>
      <c r="L419" s="55"/>
      <c r="M419" s="55"/>
      <c r="N419" s="55"/>
      <c r="O419" s="70">
        <f>O420</f>
        <v>918.7</v>
      </c>
      <c r="P419" s="70">
        <f t="shared" si="308"/>
        <v>0</v>
      </c>
      <c r="Q419" s="70">
        <f t="shared" si="308"/>
        <v>0</v>
      </c>
      <c r="R419" s="70">
        <f t="shared" si="308"/>
        <v>0</v>
      </c>
      <c r="S419" s="70">
        <f t="shared" si="308"/>
        <v>0</v>
      </c>
      <c r="T419" s="76">
        <f t="shared" si="308"/>
        <v>60</v>
      </c>
      <c r="U419" s="55">
        <f t="shared" si="308"/>
        <v>0</v>
      </c>
      <c r="V419" s="55">
        <f t="shared" si="308"/>
        <v>0</v>
      </c>
      <c r="W419" s="55">
        <f t="shared" si="308"/>
        <v>0</v>
      </c>
      <c r="X419" s="55">
        <f t="shared" si="308"/>
        <v>0</v>
      </c>
      <c r="Y419" s="106">
        <f t="shared" si="308"/>
        <v>60</v>
      </c>
      <c r="Z419" s="46"/>
      <c r="AA419" s="81"/>
    </row>
    <row r="420" spans="1:27" ht="23.25" customHeight="1">
      <c r="A420" s="56"/>
      <c r="B420" s="57" t="s">
        <v>36</v>
      </c>
      <c r="C420" s="58">
        <v>908</v>
      </c>
      <c r="D420" s="83" t="s">
        <v>23</v>
      </c>
      <c r="E420" s="83" t="s">
        <v>176</v>
      </c>
      <c r="F420" s="58" t="s">
        <v>134</v>
      </c>
      <c r="G420" s="59">
        <v>200</v>
      </c>
      <c r="H420" s="55">
        <v>15</v>
      </c>
      <c r="I420" s="55"/>
      <c r="J420" s="73">
        <v>30</v>
      </c>
      <c r="K420" s="70"/>
      <c r="L420" s="70"/>
      <c r="M420" s="70"/>
      <c r="N420" s="70"/>
      <c r="O420" s="70">
        <v>918.7</v>
      </c>
      <c r="P420" s="55">
        <v>0</v>
      </c>
      <c r="Q420" s="70">
        <v>0</v>
      </c>
      <c r="R420" s="65"/>
      <c r="S420" s="65"/>
      <c r="T420" s="77">
        <v>60</v>
      </c>
      <c r="U420" s="57">
        <v>0</v>
      </c>
      <c r="V420" s="57"/>
      <c r="W420" s="57"/>
      <c r="X420" s="57"/>
      <c r="Y420" s="106">
        <f t="shared" ref="Y420:Y424" si="309">T420+U420+V420+W420+X420</f>
        <v>60</v>
      </c>
      <c r="Z420" s="46"/>
      <c r="AA420" s="81"/>
    </row>
    <row r="421" spans="1:27" ht="41.1" customHeight="1">
      <c r="A421" s="56"/>
      <c r="B421" s="57" t="s">
        <v>389</v>
      </c>
      <c r="C421" s="58">
        <v>908</v>
      </c>
      <c r="D421" s="83" t="s">
        <v>23</v>
      </c>
      <c r="E421" s="83" t="s">
        <v>176</v>
      </c>
      <c r="F421" s="58" t="s">
        <v>390</v>
      </c>
      <c r="G421" s="59"/>
      <c r="H421" s="55">
        <f>H425</f>
        <v>50</v>
      </c>
      <c r="I421" s="55">
        <f>I425</f>
        <v>0</v>
      </c>
      <c r="J421" s="73">
        <f>J425</f>
        <v>50</v>
      </c>
      <c r="K421" s="55">
        <f>K425</f>
        <v>0</v>
      </c>
      <c r="L421" s="55"/>
      <c r="M421" s="55"/>
      <c r="N421" s="55"/>
      <c r="O421" s="70">
        <f>O425</f>
        <v>70</v>
      </c>
      <c r="P421" s="55">
        <f>P425</f>
        <v>0</v>
      </c>
      <c r="Q421" s="70">
        <f>Q425</f>
        <v>0</v>
      </c>
      <c r="R421" s="70">
        <f>R425</f>
        <v>0</v>
      </c>
      <c r="S421" s="70">
        <f>S425</f>
        <v>0</v>
      </c>
      <c r="T421" s="76">
        <f t="shared" ref="T421:Y421" si="310">T422+T425</f>
        <v>70</v>
      </c>
      <c r="U421" s="55">
        <f t="shared" si="310"/>
        <v>0</v>
      </c>
      <c r="V421" s="55">
        <f t="shared" si="310"/>
        <v>0</v>
      </c>
      <c r="W421" s="55">
        <f t="shared" si="310"/>
        <v>0</v>
      </c>
      <c r="X421" s="55">
        <f t="shared" si="310"/>
        <v>0</v>
      </c>
      <c r="Y421" s="106">
        <f t="shared" si="310"/>
        <v>46.695839999999997</v>
      </c>
      <c r="Z421" s="46"/>
      <c r="AA421" s="81"/>
    </row>
    <row r="422" spans="1:27" hidden="1">
      <c r="A422" s="56"/>
      <c r="B422" s="57" t="s">
        <v>391</v>
      </c>
      <c r="C422" s="58">
        <v>908</v>
      </c>
      <c r="D422" s="83" t="s">
        <v>23</v>
      </c>
      <c r="E422" s="83" t="s">
        <v>176</v>
      </c>
      <c r="F422" s="58" t="s">
        <v>392</v>
      </c>
      <c r="G422" s="59"/>
      <c r="H422" s="55"/>
      <c r="I422" s="55"/>
      <c r="J422" s="73"/>
      <c r="K422" s="55"/>
      <c r="L422" s="55"/>
      <c r="M422" s="55"/>
      <c r="N422" s="55"/>
      <c r="O422" s="70"/>
      <c r="P422" s="55"/>
      <c r="Q422" s="70"/>
      <c r="R422" s="70"/>
      <c r="S422" s="70"/>
      <c r="T422" s="76">
        <f>T423</f>
        <v>0</v>
      </c>
      <c r="U422" s="55"/>
      <c r="V422" s="55"/>
      <c r="W422" s="55"/>
      <c r="X422" s="55">
        <f>X423</f>
        <v>0</v>
      </c>
      <c r="Y422" s="106">
        <f t="shared" si="309"/>
        <v>0</v>
      </c>
      <c r="Z422" s="46"/>
      <c r="AA422" s="81"/>
    </row>
    <row r="423" spans="1:27" hidden="1">
      <c r="A423" s="56"/>
      <c r="B423" s="57" t="s">
        <v>393</v>
      </c>
      <c r="C423" s="58">
        <v>908</v>
      </c>
      <c r="D423" s="83" t="s">
        <v>23</v>
      </c>
      <c r="E423" s="83" t="s">
        <v>176</v>
      </c>
      <c r="F423" s="58" t="s">
        <v>394</v>
      </c>
      <c r="G423" s="59"/>
      <c r="H423" s="55"/>
      <c r="I423" s="55"/>
      <c r="J423" s="73"/>
      <c r="K423" s="55"/>
      <c r="L423" s="55"/>
      <c r="M423" s="55"/>
      <c r="N423" s="55"/>
      <c r="O423" s="70"/>
      <c r="P423" s="55"/>
      <c r="Q423" s="70"/>
      <c r="R423" s="70"/>
      <c r="S423" s="70"/>
      <c r="T423" s="76">
        <f>T424</f>
        <v>0</v>
      </c>
      <c r="U423" s="55"/>
      <c r="V423" s="55"/>
      <c r="W423" s="55"/>
      <c r="X423" s="55">
        <f>X424</f>
        <v>0</v>
      </c>
      <c r="Y423" s="106">
        <f t="shared" si="309"/>
        <v>0</v>
      </c>
      <c r="Z423" s="46"/>
      <c r="AA423" s="81"/>
    </row>
    <row r="424" spans="1:27" ht="37.5" hidden="1">
      <c r="A424" s="56"/>
      <c r="B424" s="57" t="s">
        <v>36</v>
      </c>
      <c r="C424" s="58">
        <v>908</v>
      </c>
      <c r="D424" s="83" t="s">
        <v>23</v>
      </c>
      <c r="E424" s="83" t="s">
        <v>176</v>
      </c>
      <c r="F424" s="58" t="s">
        <v>394</v>
      </c>
      <c r="G424" s="59">
        <v>200</v>
      </c>
      <c r="H424" s="55"/>
      <c r="I424" s="55"/>
      <c r="J424" s="73"/>
      <c r="K424" s="55"/>
      <c r="L424" s="55"/>
      <c r="M424" s="55"/>
      <c r="N424" s="55"/>
      <c r="O424" s="70"/>
      <c r="P424" s="55"/>
      <c r="Q424" s="70"/>
      <c r="R424" s="70"/>
      <c r="S424" s="70"/>
      <c r="T424" s="76">
        <v>0</v>
      </c>
      <c r="U424" s="55"/>
      <c r="V424" s="55"/>
      <c r="W424" s="55"/>
      <c r="X424" s="55">
        <v>0</v>
      </c>
      <c r="Y424" s="106">
        <f t="shared" si="309"/>
        <v>0</v>
      </c>
      <c r="Z424" s="46"/>
      <c r="AA424" s="81"/>
    </row>
    <row r="425" spans="1:27" ht="40.5" customHeight="1">
      <c r="A425" s="56"/>
      <c r="B425" s="57" t="s">
        <v>395</v>
      </c>
      <c r="C425" s="58">
        <v>908</v>
      </c>
      <c r="D425" s="83" t="s">
        <v>23</v>
      </c>
      <c r="E425" s="83" t="s">
        <v>176</v>
      </c>
      <c r="F425" s="58" t="s">
        <v>396</v>
      </c>
      <c r="G425" s="59"/>
      <c r="H425" s="55">
        <f t="shared" ref="H425:K426" si="311">H426</f>
        <v>50</v>
      </c>
      <c r="I425" s="55">
        <f t="shared" si="311"/>
        <v>0</v>
      </c>
      <c r="J425" s="73">
        <f t="shared" si="311"/>
        <v>50</v>
      </c>
      <c r="K425" s="55">
        <f t="shared" si="311"/>
        <v>0</v>
      </c>
      <c r="L425" s="55"/>
      <c r="M425" s="55"/>
      <c r="N425" s="55"/>
      <c r="O425" s="70">
        <f>O426</f>
        <v>70</v>
      </c>
      <c r="P425" s="55">
        <f t="shared" ref="P425:Y426" si="312">P426</f>
        <v>0</v>
      </c>
      <c r="Q425" s="70">
        <f t="shared" si="312"/>
        <v>0</v>
      </c>
      <c r="R425" s="70">
        <f t="shared" si="312"/>
        <v>0</v>
      </c>
      <c r="S425" s="70">
        <f t="shared" si="312"/>
        <v>0</v>
      </c>
      <c r="T425" s="76">
        <f t="shared" si="312"/>
        <v>70</v>
      </c>
      <c r="U425" s="55">
        <f t="shared" si="312"/>
        <v>0</v>
      </c>
      <c r="V425" s="55">
        <f t="shared" si="312"/>
        <v>0</v>
      </c>
      <c r="W425" s="55">
        <f t="shared" si="312"/>
        <v>0</v>
      </c>
      <c r="X425" s="55">
        <f t="shared" si="312"/>
        <v>0</v>
      </c>
      <c r="Y425" s="106">
        <f t="shared" si="312"/>
        <v>46.695839999999997</v>
      </c>
      <c r="Z425" s="46"/>
      <c r="AA425" s="81"/>
    </row>
    <row r="426" spans="1:27" ht="37.5">
      <c r="A426" s="56"/>
      <c r="B426" s="57" t="s">
        <v>397</v>
      </c>
      <c r="C426" s="58">
        <v>908</v>
      </c>
      <c r="D426" s="83" t="s">
        <v>23</v>
      </c>
      <c r="E426" s="83" t="s">
        <v>176</v>
      </c>
      <c r="F426" s="58" t="s">
        <v>398</v>
      </c>
      <c r="G426" s="59"/>
      <c r="H426" s="55">
        <f t="shared" si="311"/>
        <v>50</v>
      </c>
      <c r="I426" s="55">
        <f t="shared" si="311"/>
        <v>0</v>
      </c>
      <c r="J426" s="73">
        <f t="shared" si="311"/>
        <v>50</v>
      </c>
      <c r="K426" s="55">
        <f t="shared" si="311"/>
        <v>0</v>
      </c>
      <c r="L426" s="55"/>
      <c r="M426" s="55"/>
      <c r="N426" s="55"/>
      <c r="O426" s="70">
        <f>O427</f>
        <v>70</v>
      </c>
      <c r="P426" s="55">
        <f t="shared" si="312"/>
        <v>0</v>
      </c>
      <c r="Q426" s="70">
        <f t="shared" si="312"/>
        <v>0</v>
      </c>
      <c r="R426" s="70">
        <f t="shared" si="312"/>
        <v>0</v>
      </c>
      <c r="S426" s="70">
        <f t="shared" si="312"/>
        <v>0</v>
      </c>
      <c r="T426" s="76">
        <f t="shared" si="312"/>
        <v>70</v>
      </c>
      <c r="U426" s="55">
        <f t="shared" si="312"/>
        <v>0</v>
      </c>
      <c r="V426" s="55">
        <f t="shared" si="312"/>
        <v>0</v>
      </c>
      <c r="W426" s="55">
        <f t="shared" si="312"/>
        <v>0</v>
      </c>
      <c r="X426" s="55">
        <f t="shared" si="312"/>
        <v>0</v>
      </c>
      <c r="Y426" s="106">
        <f t="shared" si="312"/>
        <v>46.695839999999997</v>
      </c>
      <c r="Z426" s="46"/>
      <c r="AA426" s="81"/>
    </row>
    <row r="427" spans="1:27" ht="21.75" customHeight="1">
      <c r="A427" s="56"/>
      <c r="B427" s="57" t="s">
        <v>36</v>
      </c>
      <c r="C427" s="58">
        <v>908</v>
      </c>
      <c r="D427" s="83" t="s">
        <v>23</v>
      </c>
      <c r="E427" s="83" t="s">
        <v>176</v>
      </c>
      <c r="F427" s="58" t="s">
        <v>398</v>
      </c>
      <c r="G427" s="59">
        <v>200</v>
      </c>
      <c r="H427" s="55">
        <v>50</v>
      </c>
      <c r="I427" s="55"/>
      <c r="J427" s="73">
        <v>50</v>
      </c>
      <c r="K427" s="70"/>
      <c r="L427" s="70"/>
      <c r="M427" s="70"/>
      <c r="N427" s="70"/>
      <c r="O427" s="70">
        <v>70</v>
      </c>
      <c r="P427" s="55">
        <v>0</v>
      </c>
      <c r="Q427" s="65"/>
      <c r="R427" s="65"/>
      <c r="S427" s="65"/>
      <c r="T427" s="77">
        <v>70</v>
      </c>
      <c r="U427" s="57"/>
      <c r="V427" s="57"/>
      <c r="W427" s="57"/>
      <c r="X427" s="57">
        <v>0</v>
      </c>
      <c r="Y427" s="106">
        <v>46.695839999999997</v>
      </c>
      <c r="Z427" s="46"/>
      <c r="AA427" s="81"/>
    </row>
    <row r="428" spans="1:27" ht="56.25" hidden="1">
      <c r="A428" s="56"/>
      <c r="B428" s="57" t="s">
        <v>399</v>
      </c>
      <c r="C428" s="58">
        <v>908</v>
      </c>
      <c r="D428" s="83" t="s">
        <v>23</v>
      </c>
      <c r="E428" s="83" t="s">
        <v>176</v>
      </c>
      <c r="F428" s="58" t="s">
        <v>400</v>
      </c>
      <c r="G428" s="59"/>
      <c r="H428" s="55"/>
      <c r="I428" s="55"/>
      <c r="J428" s="73"/>
      <c r="K428" s="70"/>
      <c r="L428" s="70"/>
      <c r="M428" s="70"/>
      <c r="N428" s="70"/>
      <c r="O428" s="70"/>
      <c r="P428" s="55"/>
      <c r="Q428" s="65"/>
      <c r="R428" s="65"/>
      <c r="S428" s="65"/>
      <c r="T428" s="77">
        <f t="shared" ref="T428:Y429" si="313">T429</f>
        <v>0</v>
      </c>
      <c r="U428" s="55">
        <f t="shared" si="313"/>
        <v>0</v>
      </c>
      <c r="V428" s="57">
        <f t="shared" si="313"/>
        <v>0</v>
      </c>
      <c r="W428" s="57">
        <f t="shared" si="313"/>
        <v>0</v>
      </c>
      <c r="X428" s="57">
        <f t="shared" si="313"/>
        <v>0</v>
      </c>
      <c r="Y428" s="106">
        <f t="shared" si="313"/>
        <v>0</v>
      </c>
      <c r="Z428" s="46"/>
      <c r="AA428" s="81"/>
    </row>
    <row r="429" spans="1:27" ht="42" hidden="1" customHeight="1">
      <c r="A429" s="56"/>
      <c r="B429" s="57" t="s">
        <v>401</v>
      </c>
      <c r="C429" s="58">
        <v>908</v>
      </c>
      <c r="D429" s="83" t="s">
        <v>23</v>
      </c>
      <c r="E429" s="83" t="s">
        <v>176</v>
      </c>
      <c r="F429" s="58" t="s">
        <v>402</v>
      </c>
      <c r="G429" s="59"/>
      <c r="H429" s="55"/>
      <c r="I429" s="55"/>
      <c r="J429" s="73"/>
      <c r="K429" s="70"/>
      <c r="L429" s="70"/>
      <c r="M429" s="70"/>
      <c r="N429" s="70"/>
      <c r="O429" s="70"/>
      <c r="P429" s="55"/>
      <c r="Q429" s="65"/>
      <c r="R429" s="65"/>
      <c r="S429" s="65"/>
      <c r="T429" s="77">
        <f t="shared" si="313"/>
        <v>0</v>
      </c>
      <c r="U429" s="55">
        <f t="shared" si="313"/>
        <v>0</v>
      </c>
      <c r="V429" s="57">
        <f t="shared" si="313"/>
        <v>0</v>
      </c>
      <c r="W429" s="57">
        <f t="shared" si="313"/>
        <v>0</v>
      </c>
      <c r="X429" s="57">
        <f t="shared" si="313"/>
        <v>0</v>
      </c>
      <c r="Y429" s="106">
        <f t="shared" si="313"/>
        <v>0</v>
      </c>
      <c r="Z429" s="46"/>
      <c r="AA429" s="81"/>
    </row>
    <row r="430" spans="1:27" ht="37.5" hidden="1">
      <c r="A430" s="56"/>
      <c r="B430" s="57" t="s">
        <v>36</v>
      </c>
      <c r="C430" s="58">
        <v>908</v>
      </c>
      <c r="D430" s="83" t="s">
        <v>23</v>
      </c>
      <c r="E430" s="83" t="s">
        <v>176</v>
      </c>
      <c r="F430" s="58" t="s">
        <v>402</v>
      </c>
      <c r="G430" s="59">
        <v>200</v>
      </c>
      <c r="H430" s="55"/>
      <c r="I430" s="55"/>
      <c r="J430" s="73"/>
      <c r="K430" s="70"/>
      <c r="L430" s="70"/>
      <c r="M430" s="70"/>
      <c r="N430" s="70"/>
      <c r="O430" s="70"/>
      <c r="P430" s="55"/>
      <c r="Q430" s="65"/>
      <c r="R430" s="65"/>
      <c r="S430" s="65"/>
      <c r="T430" s="77"/>
      <c r="U430" s="55"/>
      <c r="V430" s="57"/>
      <c r="W430" s="57"/>
      <c r="X430" s="57"/>
      <c r="Y430" s="106">
        <f>T430+U430+V430+W430+X430</f>
        <v>0</v>
      </c>
      <c r="Z430" s="46"/>
      <c r="AA430" s="81"/>
    </row>
    <row r="431" spans="1:27" ht="62.25" customHeight="1">
      <c r="A431" s="56"/>
      <c r="B431" s="57" t="s">
        <v>403</v>
      </c>
      <c r="C431" s="58">
        <v>908</v>
      </c>
      <c r="D431" s="83" t="s">
        <v>23</v>
      </c>
      <c r="E431" s="83" t="s">
        <v>176</v>
      </c>
      <c r="F431" s="58" t="s">
        <v>404</v>
      </c>
      <c r="G431" s="59"/>
      <c r="H431" s="55"/>
      <c r="I431" s="55"/>
      <c r="J431" s="73"/>
      <c r="K431" s="70"/>
      <c r="L431" s="70"/>
      <c r="M431" s="70"/>
      <c r="N431" s="70"/>
      <c r="O431" s="70">
        <f>O432+O434</f>
        <v>888.09999999999991</v>
      </c>
      <c r="P431" s="70">
        <f t="shared" ref="P431:T431" si="314">P432+P434</f>
        <v>0</v>
      </c>
      <c r="Q431" s="70">
        <f t="shared" si="314"/>
        <v>0</v>
      </c>
      <c r="R431" s="70">
        <f t="shared" si="314"/>
        <v>0</v>
      </c>
      <c r="S431" s="70">
        <f t="shared" si="314"/>
        <v>0</v>
      </c>
      <c r="T431" s="76">
        <f t="shared" si="314"/>
        <v>763</v>
      </c>
      <c r="U431" s="55">
        <f t="shared" ref="U431:Y431" si="315">U432+U434</f>
        <v>0</v>
      </c>
      <c r="V431" s="55">
        <f t="shared" si="315"/>
        <v>0</v>
      </c>
      <c r="W431" s="55">
        <f t="shared" si="315"/>
        <v>0</v>
      </c>
      <c r="X431" s="55">
        <f t="shared" si="315"/>
        <v>0</v>
      </c>
      <c r="Y431" s="106">
        <f t="shared" si="315"/>
        <v>818.5630000000001</v>
      </c>
      <c r="Z431" s="46"/>
      <c r="AA431" s="81"/>
    </row>
    <row r="432" spans="1:27">
      <c r="A432" s="56"/>
      <c r="B432" s="57" t="s">
        <v>405</v>
      </c>
      <c r="C432" s="58">
        <v>908</v>
      </c>
      <c r="D432" s="83" t="s">
        <v>23</v>
      </c>
      <c r="E432" s="83" t="s">
        <v>176</v>
      </c>
      <c r="F432" s="58" t="s">
        <v>406</v>
      </c>
      <c r="G432" s="59"/>
      <c r="H432" s="55"/>
      <c r="I432" s="55"/>
      <c r="J432" s="73"/>
      <c r="K432" s="70"/>
      <c r="L432" s="70"/>
      <c r="M432" s="70"/>
      <c r="N432" s="70"/>
      <c r="O432" s="70">
        <f>O433</f>
        <v>630.79999999999995</v>
      </c>
      <c r="P432" s="70">
        <f t="shared" ref="P432:Y432" si="316">P433</f>
        <v>0</v>
      </c>
      <c r="Q432" s="70">
        <f t="shared" si="316"/>
        <v>0</v>
      </c>
      <c r="R432" s="70">
        <f t="shared" si="316"/>
        <v>0</v>
      </c>
      <c r="S432" s="70">
        <f t="shared" si="316"/>
        <v>0</v>
      </c>
      <c r="T432" s="76">
        <f t="shared" si="316"/>
        <v>663</v>
      </c>
      <c r="U432" s="55">
        <f t="shared" si="316"/>
        <v>0</v>
      </c>
      <c r="V432" s="55">
        <f t="shared" si="316"/>
        <v>0</v>
      </c>
      <c r="W432" s="55">
        <f t="shared" si="316"/>
        <v>0</v>
      </c>
      <c r="X432" s="55">
        <f t="shared" si="316"/>
        <v>0</v>
      </c>
      <c r="Y432" s="106">
        <f t="shared" si="316"/>
        <v>745.86800000000005</v>
      </c>
      <c r="Z432" s="46"/>
      <c r="AA432" s="81"/>
    </row>
    <row r="433" spans="1:27" ht="18" customHeight="1">
      <c r="A433" s="56"/>
      <c r="B433" s="57" t="s">
        <v>36</v>
      </c>
      <c r="C433" s="58">
        <v>908</v>
      </c>
      <c r="D433" s="83" t="s">
        <v>23</v>
      </c>
      <c r="E433" s="83" t="s">
        <v>176</v>
      </c>
      <c r="F433" s="58" t="s">
        <v>406</v>
      </c>
      <c r="G433" s="59">
        <v>200</v>
      </c>
      <c r="H433" s="55"/>
      <c r="I433" s="55"/>
      <c r="J433" s="73"/>
      <c r="K433" s="70"/>
      <c r="L433" s="70"/>
      <c r="M433" s="70"/>
      <c r="N433" s="70"/>
      <c r="O433" s="70">
        <v>630.79999999999995</v>
      </c>
      <c r="P433" s="70"/>
      <c r="Q433" s="70"/>
      <c r="R433" s="70"/>
      <c r="S433" s="70"/>
      <c r="T433" s="76">
        <v>663</v>
      </c>
      <c r="U433" s="57"/>
      <c r="V433" s="57"/>
      <c r="W433" s="57"/>
      <c r="X433" s="57"/>
      <c r="Y433" s="106">
        <v>745.86800000000005</v>
      </c>
      <c r="Z433" s="46"/>
      <c r="AA433" s="81"/>
    </row>
    <row r="434" spans="1:27">
      <c r="A434" s="56"/>
      <c r="B434" s="57" t="s">
        <v>407</v>
      </c>
      <c r="C434" s="58">
        <v>908</v>
      </c>
      <c r="D434" s="83" t="s">
        <v>23</v>
      </c>
      <c r="E434" s="83" t="s">
        <v>176</v>
      </c>
      <c r="F434" s="58" t="s">
        <v>408</v>
      </c>
      <c r="G434" s="59"/>
      <c r="H434" s="55"/>
      <c r="I434" s="55"/>
      <c r="J434" s="73"/>
      <c r="K434" s="70"/>
      <c r="L434" s="70"/>
      <c r="M434" s="70"/>
      <c r="N434" s="70"/>
      <c r="O434" s="70">
        <f>O435</f>
        <v>257.3</v>
      </c>
      <c r="P434" s="70">
        <f t="shared" ref="P434:Y434" si="317">P435</f>
        <v>0</v>
      </c>
      <c r="Q434" s="70">
        <f t="shared" si="317"/>
        <v>0</v>
      </c>
      <c r="R434" s="70">
        <f t="shared" si="317"/>
        <v>0</v>
      </c>
      <c r="S434" s="70">
        <f t="shared" si="317"/>
        <v>0</v>
      </c>
      <c r="T434" s="76">
        <f t="shared" si="317"/>
        <v>100</v>
      </c>
      <c r="U434" s="55">
        <f t="shared" si="317"/>
        <v>0</v>
      </c>
      <c r="V434" s="55">
        <f t="shared" si="317"/>
        <v>0</v>
      </c>
      <c r="W434" s="55">
        <f t="shared" si="317"/>
        <v>0</v>
      </c>
      <c r="X434" s="55">
        <f t="shared" si="317"/>
        <v>0</v>
      </c>
      <c r="Y434" s="106">
        <f t="shared" si="317"/>
        <v>72.694999999999993</v>
      </c>
      <c r="Z434" s="46"/>
      <c r="AA434" s="81"/>
    </row>
    <row r="435" spans="1:27" ht="24.75" customHeight="1">
      <c r="A435" s="56"/>
      <c r="B435" s="57" t="s">
        <v>36</v>
      </c>
      <c r="C435" s="58">
        <v>908</v>
      </c>
      <c r="D435" s="83" t="s">
        <v>23</v>
      </c>
      <c r="E435" s="83" t="s">
        <v>176</v>
      </c>
      <c r="F435" s="58" t="s">
        <v>408</v>
      </c>
      <c r="G435" s="59">
        <v>200</v>
      </c>
      <c r="H435" s="55"/>
      <c r="I435" s="55"/>
      <c r="J435" s="73"/>
      <c r="K435" s="70"/>
      <c r="L435" s="70"/>
      <c r="M435" s="70"/>
      <c r="N435" s="70"/>
      <c r="O435" s="70">
        <v>257.3</v>
      </c>
      <c r="P435" s="55"/>
      <c r="Q435" s="65"/>
      <c r="R435" s="65"/>
      <c r="S435" s="65"/>
      <c r="T435" s="77">
        <v>100</v>
      </c>
      <c r="U435" s="57"/>
      <c r="V435" s="57"/>
      <c r="W435" s="57"/>
      <c r="X435" s="57"/>
      <c r="Y435" s="106">
        <f>100-27.305</f>
        <v>72.694999999999993</v>
      </c>
      <c r="Z435" s="46"/>
      <c r="AA435" s="81"/>
    </row>
    <row r="436" spans="1:27" ht="45" hidden="1" customHeight="1">
      <c r="A436" s="56"/>
      <c r="B436" s="57" t="s">
        <v>223</v>
      </c>
      <c r="C436" s="58">
        <v>908</v>
      </c>
      <c r="D436" s="58" t="s">
        <v>23</v>
      </c>
      <c r="E436" s="83" t="s">
        <v>176</v>
      </c>
      <c r="F436" s="58" t="s">
        <v>136</v>
      </c>
      <c r="G436" s="59"/>
      <c r="H436" s="55">
        <f t="shared" ref="H436:K437" si="318">H437</f>
        <v>10</v>
      </c>
      <c r="I436" s="55">
        <f t="shared" si="318"/>
        <v>0</v>
      </c>
      <c r="J436" s="73">
        <f t="shared" si="318"/>
        <v>0</v>
      </c>
      <c r="K436" s="55">
        <f t="shared" si="318"/>
        <v>0</v>
      </c>
      <c r="L436" s="55"/>
      <c r="M436" s="55"/>
      <c r="N436" s="55"/>
      <c r="O436" s="70">
        <f t="shared" ref="O436:S437" si="319">J436+K436+M436+N436</f>
        <v>0</v>
      </c>
      <c r="P436" s="55">
        <f t="shared" si="319"/>
        <v>0</v>
      </c>
      <c r="Q436" s="70">
        <f t="shared" si="319"/>
        <v>0</v>
      </c>
      <c r="R436" s="70">
        <f t="shared" si="319"/>
        <v>0</v>
      </c>
      <c r="S436" s="70">
        <f t="shared" si="319"/>
        <v>0</v>
      </c>
      <c r="T436" s="76">
        <f t="shared" ref="T436:T437" si="320">O436+P436+R436+S436</f>
        <v>0</v>
      </c>
      <c r="U436" s="57"/>
      <c r="V436" s="57"/>
      <c r="W436" s="57"/>
      <c r="X436" s="57"/>
      <c r="Y436" s="106">
        <f>Y437</f>
        <v>0</v>
      </c>
      <c r="Z436" s="46"/>
      <c r="AA436" s="81"/>
    </row>
    <row r="437" spans="1:27" ht="37.5" hidden="1">
      <c r="A437" s="56"/>
      <c r="B437" s="57" t="s">
        <v>409</v>
      </c>
      <c r="C437" s="58">
        <v>908</v>
      </c>
      <c r="D437" s="58" t="s">
        <v>23</v>
      </c>
      <c r="E437" s="83" t="s">
        <v>176</v>
      </c>
      <c r="F437" s="58" t="s">
        <v>410</v>
      </c>
      <c r="G437" s="59"/>
      <c r="H437" s="55">
        <f t="shared" si="318"/>
        <v>10</v>
      </c>
      <c r="I437" s="55">
        <f t="shared" si="318"/>
        <v>0</v>
      </c>
      <c r="J437" s="73">
        <f t="shared" si="318"/>
        <v>0</v>
      </c>
      <c r="K437" s="55">
        <f t="shared" si="318"/>
        <v>0</v>
      </c>
      <c r="L437" s="55"/>
      <c r="M437" s="55"/>
      <c r="N437" s="55"/>
      <c r="O437" s="70">
        <f t="shared" si="319"/>
        <v>0</v>
      </c>
      <c r="P437" s="55">
        <f t="shared" si="319"/>
        <v>0</v>
      </c>
      <c r="Q437" s="70">
        <f t="shared" si="319"/>
        <v>0</v>
      </c>
      <c r="R437" s="70">
        <f t="shared" si="319"/>
        <v>0</v>
      </c>
      <c r="S437" s="70">
        <f t="shared" si="319"/>
        <v>0</v>
      </c>
      <c r="T437" s="76">
        <f t="shared" si="320"/>
        <v>0</v>
      </c>
      <c r="U437" s="57"/>
      <c r="V437" s="57"/>
      <c r="W437" s="57"/>
      <c r="X437" s="57"/>
      <c r="Y437" s="106">
        <f>Y438</f>
        <v>0</v>
      </c>
      <c r="Z437" s="46"/>
      <c r="AA437" s="81"/>
    </row>
    <row r="438" spans="1:27" ht="37.5" hidden="1">
      <c r="A438" s="56"/>
      <c r="B438" s="57" t="s">
        <v>36</v>
      </c>
      <c r="C438" s="58">
        <v>908</v>
      </c>
      <c r="D438" s="58" t="s">
        <v>23</v>
      </c>
      <c r="E438" s="83" t="s">
        <v>176</v>
      </c>
      <c r="F438" s="58" t="s">
        <v>410</v>
      </c>
      <c r="G438" s="59">
        <v>200</v>
      </c>
      <c r="H438" s="55">
        <v>10</v>
      </c>
      <c r="I438" s="55"/>
      <c r="J438" s="73"/>
      <c r="K438" s="70"/>
      <c r="L438" s="70"/>
      <c r="M438" s="70"/>
      <c r="N438" s="70"/>
      <c r="O438" s="70">
        <f>J438+K438+M438+N438+L438</f>
        <v>0</v>
      </c>
      <c r="P438" s="55"/>
      <c r="Q438" s="65"/>
      <c r="R438" s="65"/>
      <c r="S438" s="65"/>
      <c r="T438" s="77">
        <f>O438+P438+Q438+R438+S438</f>
        <v>0</v>
      </c>
      <c r="U438" s="57"/>
      <c r="V438" s="57"/>
      <c r="W438" s="57"/>
      <c r="X438" s="57"/>
      <c r="Y438" s="106">
        <v>0</v>
      </c>
      <c r="Z438" s="46"/>
      <c r="AA438" s="81"/>
    </row>
    <row r="439" spans="1:27" ht="62.25" hidden="1" customHeight="1">
      <c r="A439" s="56"/>
      <c r="B439" s="57" t="s">
        <v>411</v>
      </c>
      <c r="C439" s="58">
        <v>908</v>
      </c>
      <c r="D439" s="58" t="s">
        <v>23</v>
      </c>
      <c r="E439" s="83" t="s">
        <v>176</v>
      </c>
      <c r="F439" s="58" t="s">
        <v>412</v>
      </c>
      <c r="G439" s="59"/>
      <c r="H439" s="55"/>
      <c r="I439" s="55"/>
      <c r="J439" s="73">
        <f>J440</f>
        <v>155</v>
      </c>
      <c r="K439" s="73">
        <f t="shared" ref="K439:Y440" si="321">K440</f>
        <v>0</v>
      </c>
      <c r="L439" s="73">
        <f t="shared" si="321"/>
        <v>0</v>
      </c>
      <c r="M439" s="73">
        <f t="shared" si="321"/>
        <v>0</v>
      </c>
      <c r="N439" s="73">
        <f t="shared" si="321"/>
        <v>0</v>
      </c>
      <c r="O439" s="70">
        <f t="shared" si="321"/>
        <v>155</v>
      </c>
      <c r="P439" s="55">
        <f t="shared" si="321"/>
        <v>0</v>
      </c>
      <c r="Q439" s="70">
        <f t="shared" si="321"/>
        <v>0</v>
      </c>
      <c r="R439" s="70">
        <f t="shared" si="321"/>
        <v>0</v>
      </c>
      <c r="S439" s="70">
        <f t="shared" si="321"/>
        <v>0</v>
      </c>
      <c r="T439" s="76">
        <f t="shared" si="321"/>
        <v>155</v>
      </c>
      <c r="U439" s="55">
        <f t="shared" si="321"/>
        <v>0</v>
      </c>
      <c r="V439" s="55">
        <f t="shared" si="321"/>
        <v>0</v>
      </c>
      <c r="W439" s="55">
        <f t="shared" si="321"/>
        <v>0</v>
      </c>
      <c r="X439" s="55">
        <f t="shared" si="321"/>
        <v>0</v>
      </c>
      <c r="Y439" s="106">
        <f t="shared" si="321"/>
        <v>0</v>
      </c>
      <c r="Z439" s="46"/>
      <c r="AA439" s="81"/>
    </row>
    <row r="440" spans="1:27" ht="37.5" hidden="1">
      <c r="A440" s="56"/>
      <c r="B440" s="57" t="s">
        <v>413</v>
      </c>
      <c r="C440" s="58">
        <v>908</v>
      </c>
      <c r="D440" s="58" t="s">
        <v>23</v>
      </c>
      <c r="E440" s="83" t="s">
        <v>176</v>
      </c>
      <c r="F440" s="58" t="s">
        <v>414</v>
      </c>
      <c r="G440" s="59"/>
      <c r="H440" s="55"/>
      <c r="I440" s="55"/>
      <c r="J440" s="73">
        <f>J441</f>
        <v>155</v>
      </c>
      <c r="K440" s="73">
        <f t="shared" si="321"/>
        <v>0</v>
      </c>
      <c r="L440" s="73">
        <f t="shared" si="321"/>
        <v>0</v>
      </c>
      <c r="M440" s="73">
        <f t="shared" si="321"/>
        <v>0</v>
      </c>
      <c r="N440" s="73">
        <f t="shared" si="321"/>
        <v>0</v>
      </c>
      <c r="O440" s="70">
        <f t="shared" si="321"/>
        <v>155</v>
      </c>
      <c r="P440" s="55">
        <f t="shared" si="321"/>
        <v>0</v>
      </c>
      <c r="Q440" s="70">
        <f t="shared" si="321"/>
        <v>0</v>
      </c>
      <c r="R440" s="70">
        <f t="shared" si="321"/>
        <v>0</v>
      </c>
      <c r="S440" s="70">
        <f t="shared" si="321"/>
        <v>0</v>
      </c>
      <c r="T440" s="76">
        <f t="shared" si="321"/>
        <v>155</v>
      </c>
      <c r="U440" s="55">
        <f t="shared" si="321"/>
        <v>0</v>
      </c>
      <c r="V440" s="55">
        <f t="shared" si="321"/>
        <v>0</v>
      </c>
      <c r="W440" s="55">
        <f t="shared" si="321"/>
        <v>0</v>
      </c>
      <c r="X440" s="55">
        <f t="shared" si="321"/>
        <v>0</v>
      </c>
      <c r="Y440" s="106">
        <f t="shared" si="321"/>
        <v>0</v>
      </c>
      <c r="Z440" s="46"/>
      <c r="AA440" s="81"/>
    </row>
    <row r="441" spans="1:27" ht="37.5" hidden="1">
      <c r="A441" s="56"/>
      <c r="B441" s="57" t="s">
        <v>36</v>
      </c>
      <c r="C441" s="58">
        <v>908</v>
      </c>
      <c r="D441" s="58" t="s">
        <v>23</v>
      </c>
      <c r="E441" s="83" t="s">
        <v>176</v>
      </c>
      <c r="F441" s="58" t="s">
        <v>414</v>
      </c>
      <c r="G441" s="59">
        <v>200</v>
      </c>
      <c r="H441" s="55"/>
      <c r="I441" s="55"/>
      <c r="J441" s="73">
        <v>155</v>
      </c>
      <c r="K441" s="70"/>
      <c r="L441" s="70"/>
      <c r="M441" s="70"/>
      <c r="N441" s="70"/>
      <c r="O441" s="70">
        <v>155</v>
      </c>
      <c r="P441" s="55"/>
      <c r="Q441" s="65"/>
      <c r="R441" s="65"/>
      <c r="S441" s="65"/>
      <c r="T441" s="77">
        <v>155</v>
      </c>
      <c r="U441" s="57"/>
      <c r="V441" s="57"/>
      <c r="W441" s="57"/>
      <c r="X441" s="57"/>
      <c r="Y441" s="106">
        <v>0</v>
      </c>
      <c r="Z441" s="46"/>
      <c r="AA441" s="81"/>
    </row>
    <row r="442" spans="1:27" ht="39" customHeight="1">
      <c r="A442" s="56"/>
      <c r="B442" s="57" t="s">
        <v>282</v>
      </c>
      <c r="C442" s="58">
        <v>908</v>
      </c>
      <c r="D442" s="58" t="s">
        <v>23</v>
      </c>
      <c r="E442" s="83" t="s">
        <v>176</v>
      </c>
      <c r="F442" s="58" t="s">
        <v>283</v>
      </c>
      <c r="G442" s="59"/>
      <c r="H442" s="55">
        <f>H443</f>
        <v>180</v>
      </c>
      <c r="I442" s="55">
        <f t="shared" ref="I442:K443" si="322">I443</f>
        <v>0</v>
      </c>
      <c r="J442" s="73">
        <f t="shared" si="322"/>
        <v>180</v>
      </c>
      <c r="K442" s="55">
        <f t="shared" si="322"/>
        <v>0</v>
      </c>
      <c r="L442" s="55"/>
      <c r="M442" s="55"/>
      <c r="N442" s="55"/>
      <c r="O442" s="70">
        <f>O443</f>
        <v>180</v>
      </c>
      <c r="P442" s="55">
        <f t="shared" ref="P442:Y443" si="323">P443</f>
        <v>0</v>
      </c>
      <c r="Q442" s="70">
        <f t="shared" si="323"/>
        <v>0</v>
      </c>
      <c r="R442" s="70">
        <f t="shared" si="323"/>
        <v>0</v>
      </c>
      <c r="S442" s="70">
        <f t="shared" si="323"/>
        <v>0</v>
      </c>
      <c r="T442" s="76">
        <f t="shared" si="323"/>
        <v>185</v>
      </c>
      <c r="U442" s="55">
        <f t="shared" si="323"/>
        <v>0</v>
      </c>
      <c r="V442" s="55">
        <f t="shared" si="323"/>
        <v>0</v>
      </c>
      <c r="W442" s="55">
        <f t="shared" si="323"/>
        <v>0</v>
      </c>
      <c r="X442" s="55">
        <f t="shared" si="323"/>
        <v>0</v>
      </c>
      <c r="Y442" s="106">
        <f t="shared" si="323"/>
        <v>540</v>
      </c>
      <c r="Z442" s="46"/>
      <c r="AA442" s="81"/>
    </row>
    <row r="443" spans="1:27" ht="22.5" customHeight="1">
      <c r="A443" s="56"/>
      <c r="B443" s="57" t="s">
        <v>284</v>
      </c>
      <c r="C443" s="58">
        <v>908</v>
      </c>
      <c r="D443" s="58" t="s">
        <v>23</v>
      </c>
      <c r="E443" s="83" t="s">
        <v>176</v>
      </c>
      <c r="F443" s="58" t="s">
        <v>285</v>
      </c>
      <c r="G443" s="59"/>
      <c r="H443" s="55">
        <f>H444</f>
        <v>180</v>
      </c>
      <c r="I443" s="55">
        <f t="shared" si="322"/>
        <v>0</v>
      </c>
      <c r="J443" s="73">
        <f t="shared" si="322"/>
        <v>180</v>
      </c>
      <c r="K443" s="55">
        <f t="shared" si="322"/>
        <v>0</v>
      </c>
      <c r="L443" s="55"/>
      <c r="M443" s="55"/>
      <c r="N443" s="55"/>
      <c r="O443" s="70">
        <f>O444</f>
        <v>180</v>
      </c>
      <c r="P443" s="55">
        <f t="shared" si="323"/>
        <v>0</v>
      </c>
      <c r="Q443" s="70">
        <f t="shared" si="323"/>
        <v>0</v>
      </c>
      <c r="R443" s="70">
        <f t="shared" si="323"/>
        <v>0</v>
      </c>
      <c r="S443" s="70">
        <f t="shared" si="323"/>
        <v>0</v>
      </c>
      <c r="T443" s="76">
        <f t="shared" si="323"/>
        <v>185</v>
      </c>
      <c r="U443" s="55">
        <f t="shared" si="323"/>
        <v>0</v>
      </c>
      <c r="V443" s="55">
        <f t="shared" si="323"/>
        <v>0</v>
      </c>
      <c r="W443" s="55">
        <f t="shared" si="323"/>
        <v>0</v>
      </c>
      <c r="X443" s="55">
        <f t="shared" si="323"/>
        <v>0</v>
      </c>
      <c r="Y443" s="106">
        <f t="shared" si="323"/>
        <v>540</v>
      </c>
      <c r="Z443" s="46"/>
      <c r="AA443" s="81"/>
    </row>
    <row r="444" spans="1:27" ht="23.25" customHeight="1">
      <c r="A444" s="56"/>
      <c r="B444" s="57" t="s">
        <v>36</v>
      </c>
      <c r="C444" s="58">
        <v>908</v>
      </c>
      <c r="D444" s="58" t="s">
        <v>23</v>
      </c>
      <c r="E444" s="83" t="s">
        <v>176</v>
      </c>
      <c r="F444" s="58" t="s">
        <v>285</v>
      </c>
      <c r="G444" s="59">
        <v>200</v>
      </c>
      <c r="H444" s="55">
        <v>180</v>
      </c>
      <c r="I444" s="55"/>
      <c r="J444" s="73">
        <v>180</v>
      </c>
      <c r="K444" s="70"/>
      <c r="L444" s="70"/>
      <c r="M444" s="70"/>
      <c r="N444" s="70"/>
      <c r="O444" s="70">
        <v>180</v>
      </c>
      <c r="P444" s="55"/>
      <c r="Q444" s="65"/>
      <c r="R444" s="65"/>
      <c r="S444" s="65"/>
      <c r="T444" s="77">
        <v>185</v>
      </c>
      <c r="U444" s="55">
        <v>0</v>
      </c>
      <c r="V444" s="57"/>
      <c r="W444" s="57"/>
      <c r="X444" s="57"/>
      <c r="Y444" s="106">
        <v>540</v>
      </c>
      <c r="Z444" s="46"/>
      <c r="AA444" s="81"/>
    </row>
    <row r="445" spans="1:27" ht="37.5">
      <c r="A445" s="56"/>
      <c r="B445" s="57" t="s">
        <v>415</v>
      </c>
      <c r="C445" s="58">
        <v>908</v>
      </c>
      <c r="D445" s="58" t="s">
        <v>23</v>
      </c>
      <c r="E445" s="83" t="s">
        <v>176</v>
      </c>
      <c r="F445" s="58" t="s">
        <v>416</v>
      </c>
      <c r="G445" s="59"/>
      <c r="H445" s="55">
        <f t="shared" ref="H445:K446" si="324">H446</f>
        <v>800</v>
      </c>
      <c r="I445" s="55">
        <f t="shared" si="324"/>
        <v>0</v>
      </c>
      <c r="J445" s="73">
        <f t="shared" si="324"/>
        <v>2029.8</v>
      </c>
      <c r="K445" s="55">
        <f t="shared" si="324"/>
        <v>0</v>
      </c>
      <c r="L445" s="55"/>
      <c r="M445" s="55"/>
      <c r="N445" s="55"/>
      <c r="O445" s="70">
        <f>O446</f>
        <v>1410.1</v>
      </c>
      <c r="P445" s="55">
        <f t="shared" ref="P445:Y446" si="325">P446</f>
        <v>0</v>
      </c>
      <c r="Q445" s="70">
        <f t="shared" si="325"/>
        <v>0</v>
      </c>
      <c r="R445" s="70">
        <f t="shared" si="325"/>
        <v>0</v>
      </c>
      <c r="S445" s="70">
        <f t="shared" si="325"/>
        <v>0</v>
      </c>
      <c r="T445" s="76">
        <f t="shared" si="325"/>
        <v>1470.2</v>
      </c>
      <c r="U445" s="55">
        <f t="shared" si="325"/>
        <v>0</v>
      </c>
      <c r="V445" s="55">
        <f t="shared" si="325"/>
        <v>0</v>
      </c>
      <c r="W445" s="55">
        <f t="shared" si="325"/>
        <v>0</v>
      </c>
      <c r="X445" s="55">
        <f t="shared" si="325"/>
        <v>0</v>
      </c>
      <c r="Y445" s="106">
        <f t="shared" si="325"/>
        <v>1309.3</v>
      </c>
      <c r="Z445" s="46"/>
      <c r="AA445" s="81"/>
    </row>
    <row r="446" spans="1:27" ht="43.5" customHeight="1">
      <c r="A446" s="56"/>
      <c r="B446" s="57" t="s">
        <v>417</v>
      </c>
      <c r="C446" s="58">
        <v>908</v>
      </c>
      <c r="D446" s="58" t="s">
        <v>23</v>
      </c>
      <c r="E446" s="83" t="s">
        <v>176</v>
      </c>
      <c r="F446" s="58" t="s">
        <v>418</v>
      </c>
      <c r="G446" s="59"/>
      <c r="H446" s="55">
        <f t="shared" si="324"/>
        <v>800</v>
      </c>
      <c r="I446" s="55">
        <f t="shared" si="324"/>
        <v>0</v>
      </c>
      <c r="J446" s="73">
        <f t="shared" si="324"/>
        <v>2029.8</v>
      </c>
      <c r="K446" s="55">
        <f t="shared" si="324"/>
        <v>0</v>
      </c>
      <c r="L446" s="55"/>
      <c r="M446" s="55"/>
      <c r="N446" s="55"/>
      <c r="O446" s="70">
        <f>O447</f>
        <v>1410.1</v>
      </c>
      <c r="P446" s="55">
        <f t="shared" si="325"/>
        <v>0</v>
      </c>
      <c r="Q446" s="70">
        <f t="shared" si="325"/>
        <v>0</v>
      </c>
      <c r="R446" s="70">
        <f t="shared" si="325"/>
        <v>0</v>
      </c>
      <c r="S446" s="70">
        <f t="shared" si="325"/>
        <v>0</v>
      </c>
      <c r="T446" s="76">
        <f t="shared" si="325"/>
        <v>1470.2</v>
      </c>
      <c r="U446" s="55">
        <f t="shared" si="325"/>
        <v>0</v>
      </c>
      <c r="V446" s="55">
        <f t="shared" si="325"/>
        <v>0</v>
      </c>
      <c r="W446" s="55">
        <f t="shared" si="325"/>
        <v>0</v>
      </c>
      <c r="X446" s="55">
        <f t="shared" si="325"/>
        <v>0</v>
      </c>
      <c r="Y446" s="106">
        <f t="shared" si="325"/>
        <v>1309.3</v>
      </c>
      <c r="Z446" s="46"/>
      <c r="AA446" s="81"/>
    </row>
    <row r="447" spans="1:27" ht="20.25" customHeight="1">
      <c r="A447" s="56"/>
      <c r="B447" s="57" t="s">
        <v>36</v>
      </c>
      <c r="C447" s="58">
        <v>908</v>
      </c>
      <c r="D447" s="58" t="s">
        <v>23</v>
      </c>
      <c r="E447" s="83" t="s">
        <v>176</v>
      </c>
      <c r="F447" s="58" t="s">
        <v>418</v>
      </c>
      <c r="G447" s="59">
        <v>200</v>
      </c>
      <c r="H447" s="55">
        <v>800</v>
      </c>
      <c r="I447" s="55"/>
      <c r="J447" s="73">
        <v>2029.8</v>
      </c>
      <c r="K447" s="70"/>
      <c r="L447" s="70"/>
      <c r="M447" s="70"/>
      <c r="N447" s="70"/>
      <c r="O447" s="70">
        <v>1410.1</v>
      </c>
      <c r="P447" s="55">
        <v>0</v>
      </c>
      <c r="Q447" s="70">
        <v>0</v>
      </c>
      <c r="R447" s="65"/>
      <c r="S447" s="65"/>
      <c r="T447" s="77">
        <v>1470.2</v>
      </c>
      <c r="U447" s="55">
        <v>0</v>
      </c>
      <c r="V447" s="57"/>
      <c r="W447" s="57"/>
      <c r="X447" s="57"/>
      <c r="Y447" s="106">
        <f>1470.2-12.5-148.4</f>
        <v>1309.3</v>
      </c>
      <c r="Z447" s="46"/>
      <c r="AA447" s="81"/>
    </row>
    <row r="448" spans="1:27" ht="60" customHeight="1">
      <c r="A448" s="56"/>
      <c r="B448" s="57" t="s">
        <v>419</v>
      </c>
      <c r="C448" s="58">
        <v>908</v>
      </c>
      <c r="D448" s="83" t="s">
        <v>23</v>
      </c>
      <c r="E448" s="83" t="s">
        <v>176</v>
      </c>
      <c r="F448" s="58" t="s">
        <v>420</v>
      </c>
      <c r="G448" s="59"/>
      <c r="H448" s="55">
        <f>H449</f>
        <v>1326.1</v>
      </c>
      <c r="I448" s="55">
        <f>I449</f>
        <v>0</v>
      </c>
      <c r="J448" s="73">
        <f>J449</f>
        <v>300.89999999999998</v>
      </c>
      <c r="K448" s="55">
        <f>K449</f>
        <v>0</v>
      </c>
      <c r="L448" s="55"/>
      <c r="M448" s="55"/>
      <c r="N448" s="55"/>
      <c r="O448" s="70">
        <f t="shared" ref="O448:Y448" si="326">O449</f>
        <v>1771.4</v>
      </c>
      <c r="P448" s="55">
        <f t="shared" si="326"/>
        <v>0</v>
      </c>
      <c r="Q448" s="70">
        <f t="shared" si="326"/>
        <v>0</v>
      </c>
      <c r="R448" s="70">
        <f t="shared" si="326"/>
        <v>0</v>
      </c>
      <c r="S448" s="70">
        <f t="shared" si="326"/>
        <v>0</v>
      </c>
      <c r="T448" s="76">
        <f t="shared" si="326"/>
        <v>873.5</v>
      </c>
      <c r="U448" s="55">
        <f t="shared" si="326"/>
        <v>0</v>
      </c>
      <c r="V448" s="55">
        <f t="shared" si="326"/>
        <v>0</v>
      </c>
      <c r="W448" s="55">
        <f t="shared" si="326"/>
        <v>0</v>
      </c>
      <c r="X448" s="55">
        <f t="shared" si="326"/>
        <v>0</v>
      </c>
      <c r="Y448" s="106">
        <f t="shared" si="326"/>
        <v>469.72292000000004</v>
      </c>
      <c r="Z448" s="46"/>
      <c r="AA448" s="81"/>
    </row>
    <row r="449" spans="1:27" ht="60.75" customHeight="1">
      <c r="A449" s="56"/>
      <c r="B449" s="57" t="s">
        <v>421</v>
      </c>
      <c r="C449" s="58">
        <v>908</v>
      </c>
      <c r="D449" s="83" t="s">
        <v>23</v>
      </c>
      <c r="E449" s="83" t="s">
        <v>176</v>
      </c>
      <c r="F449" s="58" t="s">
        <v>422</v>
      </c>
      <c r="G449" s="59"/>
      <c r="H449" s="55">
        <f>H450+H452+H454</f>
        <v>1326.1</v>
      </c>
      <c r="I449" s="55">
        <f>I450+I452+I454</f>
        <v>0</v>
      </c>
      <c r="J449" s="73">
        <f>J450+J452+J454</f>
        <v>300.89999999999998</v>
      </c>
      <c r="K449" s="55">
        <f>K450+K452+K454</f>
        <v>0</v>
      </c>
      <c r="L449" s="55"/>
      <c r="M449" s="55"/>
      <c r="N449" s="55"/>
      <c r="O449" s="70">
        <f t="shared" ref="O449:T449" si="327">O450+O452+O454</f>
        <v>1771.4</v>
      </c>
      <c r="P449" s="55">
        <f t="shared" si="327"/>
        <v>0</v>
      </c>
      <c r="Q449" s="70">
        <f t="shared" si="327"/>
        <v>0</v>
      </c>
      <c r="R449" s="70">
        <f t="shared" si="327"/>
        <v>0</v>
      </c>
      <c r="S449" s="70">
        <f t="shared" si="327"/>
        <v>0</v>
      </c>
      <c r="T449" s="76">
        <f t="shared" si="327"/>
        <v>873.5</v>
      </c>
      <c r="U449" s="55">
        <f t="shared" ref="U449:Y449" si="328">U450+U452+U454</f>
        <v>0</v>
      </c>
      <c r="V449" s="55">
        <f t="shared" si="328"/>
        <v>0</v>
      </c>
      <c r="W449" s="55">
        <f t="shared" si="328"/>
        <v>0</v>
      </c>
      <c r="X449" s="55">
        <f t="shared" si="328"/>
        <v>0</v>
      </c>
      <c r="Y449" s="106">
        <f t="shared" si="328"/>
        <v>469.72292000000004</v>
      </c>
      <c r="Z449" s="46"/>
      <c r="AA449" s="81"/>
    </row>
    <row r="450" spans="1:27" ht="41.25" customHeight="1">
      <c r="A450" s="56"/>
      <c r="B450" s="57" t="s">
        <v>423</v>
      </c>
      <c r="C450" s="58">
        <v>908</v>
      </c>
      <c r="D450" s="83" t="s">
        <v>23</v>
      </c>
      <c r="E450" s="83" t="s">
        <v>176</v>
      </c>
      <c r="F450" s="58" t="s">
        <v>424</v>
      </c>
      <c r="G450" s="59"/>
      <c r="H450" s="55">
        <f>H451</f>
        <v>30</v>
      </c>
      <c r="I450" s="55">
        <f>I451</f>
        <v>0</v>
      </c>
      <c r="J450" s="73">
        <f>J451</f>
        <v>30</v>
      </c>
      <c r="K450" s="55">
        <f>K451</f>
        <v>0</v>
      </c>
      <c r="L450" s="55"/>
      <c r="M450" s="55"/>
      <c r="N450" s="55"/>
      <c r="O450" s="70">
        <f t="shared" ref="O450:Y450" si="329">O451</f>
        <v>100</v>
      </c>
      <c r="P450" s="55">
        <f t="shared" si="329"/>
        <v>0</v>
      </c>
      <c r="Q450" s="70">
        <f t="shared" si="329"/>
        <v>0</v>
      </c>
      <c r="R450" s="70">
        <f t="shared" si="329"/>
        <v>0</v>
      </c>
      <c r="S450" s="70">
        <f t="shared" si="329"/>
        <v>0</v>
      </c>
      <c r="T450" s="76">
        <f t="shared" si="329"/>
        <v>50</v>
      </c>
      <c r="U450" s="55">
        <f t="shared" si="329"/>
        <v>0</v>
      </c>
      <c r="V450" s="55">
        <f t="shared" si="329"/>
        <v>0</v>
      </c>
      <c r="W450" s="55">
        <f t="shared" si="329"/>
        <v>0</v>
      </c>
      <c r="X450" s="55">
        <f t="shared" si="329"/>
        <v>0</v>
      </c>
      <c r="Y450" s="106">
        <f t="shared" si="329"/>
        <v>23.9</v>
      </c>
      <c r="Z450" s="46"/>
      <c r="AA450" s="81"/>
    </row>
    <row r="451" spans="1:27" ht="23.25" customHeight="1">
      <c r="A451" s="56"/>
      <c r="B451" s="57" t="s">
        <v>36</v>
      </c>
      <c r="C451" s="58">
        <v>908</v>
      </c>
      <c r="D451" s="83" t="s">
        <v>23</v>
      </c>
      <c r="E451" s="83" t="s">
        <v>176</v>
      </c>
      <c r="F451" s="58" t="s">
        <v>424</v>
      </c>
      <c r="G451" s="59">
        <v>200</v>
      </c>
      <c r="H451" s="55">
        <v>30</v>
      </c>
      <c r="I451" s="55">
        <v>0</v>
      </c>
      <c r="J451" s="73">
        <v>30</v>
      </c>
      <c r="K451" s="70"/>
      <c r="L451" s="70"/>
      <c r="M451" s="70"/>
      <c r="N451" s="70"/>
      <c r="O451" s="70">
        <v>100</v>
      </c>
      <c r="P451" s="55">
        <v>0</v>
      </c>
      <c r="Q451" s="65"/>
      <c r="R451" s="65"/>
      <c r="S451" s="65"/>
      <c r="T451" s="77">
        <v>50</v>
      </c>
      <c r="U451" s="57"/>
      <c r="V451" s="57"/>
      <c r="W451" s="57"/>
      <c r="X451" s="57"/>
      <c r="Y451" s="106">
        <v>23.9</v>
      </c>
      <c r="Z451" s="46"/>
      <c r="AA451" s="81"/>
    </row>
    <row r="452" spans="1:27" ht="76.5" customHeight="1">
      <c r="A452" s="56"/>
      <c r="B452" s="57" t="s">
        <v>425</v>
      </c>
      <c r="C452" s="58">
        <v>908</v>
      </c>
      <c r="D452" s="83" t="s">
        <v>23</v>
      </c>
      <c r="E452" s="83" t="s">
        <v>176</v>
      </c>
      <c r="F452" s="58" t="s">
        <v>426</v>
      </c>
      <c r="G452" s="59"/>
      <c r="H452" s="55">
        <f>H453</f>
        <v>200</v>
      </c>
      <c r="I452" s="55">
        <f>I453</f>
        <v>0</v>
      </c>
      <c r="J452" s="73">
        <f>J453</f>
        <v>140</v>
      </c>
      <c r="K452" s="55">
        <f>K453</f>
        <v>0</v>
      </c>
      <c r="L452" s="55"/>
      <c r="M452" s="55"/>
      <c r="N452" s="55"/>
      <c r="O452" s="70">
        <f t="shared" ref="O452:Y452" si="330">O453</f>
        <v>185</v>
      </c>
      <c r="P452" s="55">
        <f t="shared" si="330"/>
        <v>0</v>
      </c>
      <c r="Q452" s="70">
        <f t="shared" si="330"/>
        <v>0</v>
      </c>
      <c r="R452" s="70">
        <f t="shared" si="330"/>
        <v>0</v>
      </c>
      <c r="S452" s="70">
        <f t="shared" si="330"/>
        <v>0</v>
      </c>
      <c r="T452" s="76">
        <f t="shared" si="330"/>
        <v>185</v>
      </c>
      <c r="U452" s="55">
        <f t="shared" si="330"/>
        <v>0</v>
      </c>
      <c r="V452" s="55">
        <f t="shared" si="330"/>
        <v>0</v>
      </c>
      <c r="W452" s="55">
        <f t="shared" si="330"/>
        <v>0</v>
      </c>
      <c r="X452" s="55">
        <f t="shared" si="330"/>
        <v>0</v>
      </c>
      <c r="Y452" s="106">
        <f t="shared" si="330"/>
        <v>175</v>
      </c>
      <c r="Z452" s="46"/>
      <c r="AA452" s="81"/>
    </row>
    <row r="453" spans="1:27" ht="23.25" customHeight="1">
      <c r="A453" s="56"/>
      <c r="B453" s="57" t="s">
        <v>36</v>
      </c>
      <c r="C453" s="58">
        <v>908</v>
      </c>
      <c r="D453" s="83" t="s">
        <v>23</v>
      </c>
      <c r="E453" s="83" t="s">
        <v>176</v>
      </c>
      <c r="F453" s="58" t="s">
        <v>426</v>
      </c>
      <c r="G453" s="59">
        <v>200</v>
      </c>
      <c r="H453" s="55">
        <v>200</v>
      </c>
      <c r="I453" s="55"/>
      <c r="J453" s="73">
        <v>140</v>
      </c>
      <c r="K453" s="70"/>
      <c r="L453" s="70"/>
      <c r="M453" s="70"/>
      <c r="N453" s="70"/>
      <c r="O453" s="70">
        <v>185</v>
      </c>
      <c r="P453" s="55">
        <v>0</v>
      </c>
      <c r="Q453" s="70">
        <v>0</v>
      </c>
      <c r="R453" s="65"/>
      <c r="S453" s="65"/>
      <c r="T453" s="77">
        <v>185</v>
      </c>
      <c r="U453" s="55">
        <v>0</v>
      </c>
      <c r="V453" s="57"/>
      <c r="W453" s="57"/>
      <c r="X453" s="57"/>
      <c r="Y453" s="106">
        <v>175</v>
      </c>
      <c r="Z453" s="46"/>
      <c r="AA453" s="81"/>
    </row>
    <row r="454" spans="1:27" ht="57.75" customHeight="1">
      <c r="A454" s="56"/>
      <c r="B454" s="57" t="s">
        <v>427</v>
      </c>
      <c r="C454" s="58">
        <v>908</v>
      </c>
      <c r="D454" s="83" t="s">
        <v>23</v>
      </c>
      <c r="E454" s="83" t="s">
        <v>176</v>
      </c>
      <c r="F454" s="58" t="s">
        <v>428</v>
      </c>
      <c r="G454" s="59"/>
      <c r="H454" s="55">
        <f>H455</f>
        <v>1096.0999999999999</v>
      </c>
      <c r="I454" s="55">
        <f>I455</f>
        <v>0</v>
      </c>
      <c r="J454" s="73">
        <f>J455</f>
        <v>130.9</v>
      </c>
      <c r="K454" s="55">
        <f>K455</f>
        <v>0</v>
      </c>
      <c r="L454" s="55"/>
      <c r="M454" s="55"/>
      <c r="N454" s="55"/>
      <c r="O454" s="70">
        <f t="shared" ref="O454:Y454" si="331">O455</f>
        <v>1486.4</v>
      </c>
      <c r="P454" s="55">
        <f t="shared" si="331"/>
        <v>0</v>
      </c>
      <c r="Q454" s="70">
        <f t="shared" si="331"/>
        <v>0</v>
      </c>
      <c r="R454" s="70">
        <f t="shared" si="331"/>
        <v>0</v>
      </c>
      <c r="S454" s="70">
        <f t="shared" si="331"/>
        <v>0</v>
      </c>
      <c r="T454" s="76">
        <f t="shared" si="331"/>
        <v>638.5</v>
      </c>
      <c r="U454" s="55">
        <f t="shared" si="331"/>
        <v>0</v>
      </c>
      <c r="V454" s="55">
        <f t="shared" si="331"/>
        <v>0</v>
      </c>
      <c r="W454" s="55">
        <f t="shared" si="331"/>
        <v>0</v>
      </c>
      <c r="X454" s="55">
        <f t="shared" si="331"/>
        <v>0</v>
      </c>
      <c r="Y454" s="106">
        <f t="shared" si="331"/>
        <v>270.82292000000001</v>
      </c>
      <c r="Z454" s="46"/>
      <c r="AA454" s="81"/>
    </row>
    <row r="455" spans="1:27" ht="24.75" customHeight="1">
      <c r="A455" s="56"/>
      <c r="B455" s="57" t="s">
        <v>36</v>
      </c>
      <c r="C455" s="58">
        <v>908</v>
      </c>
      <c r="D455" s="83" t="s">
        <v>23</v>
      </c>
      <c r="E455" s="83" t="s">
        <v>176</v>
      </c>
      <c r="F455" s="58" t="s">
        <v>428</v>
      </c>
      <c r="G455" s="59">
        <v>200</v>
      </c>
      <c r="H455" s="55">
        <v>1096.0999999999999</v>
      </c>
      <c r="I455" s="55"/>
      <c r="J455" s="73">
        <v>130.9</v>
      </c>
      <c r="K455" s="70"/>
      <c r="L455" s="70"/>
      <c r="M455" s="70"/>
      <c r="N455" s="70"/>
      <c r="O455" s="70">
        <v>1486.4</v>
      </c>
      <c r="P455" s="55">
        <v>0</v>
      </c>
      <c r="Q455" s="70">
        <v>0</v>
      </c>
      <c r="R455" s="65"/>
      <c r="S455" s="65"/>
      <c r="T455" s="77">
        <v>638.5</v>
      </c>
      <c r="U455" s="55"/>
      <c r="V455" s="57"/>
      <c r="W455" s="57"/>
      <c r="X455" s="57"/>
      <c r="Y455" s="106">
        <v>270.82292000000001</v>
      </c>
      <c r="Z455" s="46"/>
      <c r="AA455" s="81"/>
    </row>
    <row r="456" spans="1:27">
      <c r="A456" s="56"/>
      <c r="B456" s="57" t="s">
        <v>26</v>
      </c>
      <c r="C456" s="58">
        <v>908</v>
      </c>
      <c r="D456" s="83" t="s">
        <v>23</v>
      </c>
      <c r="E456" s="83" t="s">
        <v>176</v>
      </c>
      <c r="F456" s="58" t="s">
        <v>27</v>
      </c>
      <c r="G456" s="59"/>
      <c r="H456" s="55">
        <f>H457+H460</f>
        <v>0</v>
      </c>
      <c r="I456" s="55">
        <f>I457+I460</f>
        <v>198</v>
      </c>
      <c r="J456" s="73">
        <f>J457+J460+J462+J465</f>
        <v>7201.5</v>
      </c>
      <c r="K456" s="55">
        <f>K457+K460+K462+K465</f>
        <v>198</v>
      </c>
      <c r="L456" s="55"/>
      <c r="M456" s="55"/>
      <c r="N456" s="55"/>
      <c r="O456" s="70">
        <f t="shared" ref="O456:T456" si="332">O457+O460+O462+O465</f>
        <v>10829.999999999998</v>
      </c>
      <c r="P456" s="55">
        <f t="shared" si="332"/>
        <v>198</v>
      </c>
      <c r="Q456" s="70">
        <f t="shared" si="332"/>
        <v>0</v>
      </c>
      <c r="R456" s="70">
        <f t="shared" si="332"/>
        <v>0</v>
      </c>
      <c r="S456" s="70">
        <f t="shared" si="332"/>
        <v>0</v>
      </c>
      <c r="T456" s="76">
        <f t="shared" si="332"/>
        <v>10220.699999999999</v>
      </c>
      <c r="U456" s="55">
        <f t="shared" ref="U456:Y456" si="333">U457+U460+U462+U465</f>
        <v>0</v>
      </c>
      <c r="V456" s="55">
        <f t="shared" si="333"/>
        <v>0</v>
      </c>
      <c r="W456" s="55">
        <f t="shared" si="333"/>
        <v>0</v>
      </c>
      <c r="X456" s="55">
        <f t="shared" si="333"/>
        <v>198</v>
      </c>
      <c r="Y456" s="106">
        <f t="shared" si="333"/>
        <v>10142.143</v>
      </c>
      <c r="Z456" s="46"/>
      <c r="AA456" s="81"/>
    </row>
    <row r="457" spans="1:27" ht="37.5">
      <c r="A457" s="56"/>
      <c r="B457" s="57" t="s">
        <v>429</v>
      </c>
      <c r="C457" s="58">
        <v>908</v>
      </c>
      <c r="D457" s="83" t="s">
        <v>23</v>
      </c>
      <c r="E457" s="83" t="s">
        <v>176</v>
      </c>
      <c r="F457" s="58" t="s">
        <v>430</v>
      </c>
      <c r="G457" s="59"/>
      <c r="H457" s="55">
        <f>H458+H459</f>
        <v>0</v>
      </c>
      <c r="I457" s="55">
        <f>I458+I459</f>
        <v>197.5</v>
      </c>
      <c r="J457" s="73">
        <f>J458+J459</f>
        <v>0</v>
      </c>
      <c r="K457" s="55">
        <f>K458+K459</f>
        <v>197.5</v>
      </c>
      <c r="L457" s="55"/>
      <c r="M457" s="55"/>
      <c r="N457" s="55"/>
      <c r="O457" s="70">
        <f t="shared" ref="O457:T457" si="334">O458+O459</f>
        <v>0</v>
      </c>
      <c r="P457" s="55">
        <f t="shared" si="334"/>
        <v>197.5</v>
      </c>
      <c r="Q457" s="70">
        <f t="shared" si="334"/>
        <v>0</v>
      </c>
      <c r="R457" s="70">
        <f t="shared" si="334"/>
        <v>0</v>
      </c>
      <c r="S457" s="70">
        <f t="shared" si="334"/>
        <v>0</v>
      </c>
      <c r="T457" s="76">
        <f t="shared" si="334"/>
        <v>0</v>
      </c>
      <c r="U457" s="55">
        <f t="shared" ref="U457:Y457" si="335">U458+U459</f>
        <v>0</v>
      </c>
      <c r="V457" s="55">
        <f t="shared" si="335"/>
        <v>0</v>
      </c>
      <c r="W457" s="55">
        <f t="shared" si="335"/>
        <v>0</v>
      </c>
      <c r="X457" s="55">
        <f t="shared" si="335"/>
        <v>197.5</v>
      </c>
      <c r="Y457" s="106">
        <f t="shared" si="335"/>
        <v>197.5</v>
      </c>
      <c r="Z457" s="46"/>
      <c r="AA457" s="81"/>
    </row>
    <row r="458" spans="1:27" ht="23.25" customHeight="1">
      <c r="A458" s="56"/>
      <c r="B458" s="57" t="s">
        <v>36</v>
      </c>
      <c r="C458" s="58">
        <v>908</v>
      </c>
      <c r="D458" s="83" t="s">
        <v>23</v>
      </c>
      <c r="E458" s="83" t="s">
        <v>176</v>
      </c>
      <c r="F458" s="58" t="s">
        <v>430</v>
      </c>
      <c r="G458" s="59">
        <v>200</v>
      </c>
      <c r="H458" s="55"/>
      <c r="I458" s="55">
        <v>32.5</v>
      </c>
      <c r="J458" s="73"/>
      <c r="K458" s="70">
        <v>38.799999999999997</v>
      </c>
      <c r="L458" s="70"/>
      <c r="M458" s="70"/>
      <c r="N458" s="70"/>
      <c r="O458" s="70"/>
      <c r="P458" s="55">
        <v>32.5</v>
      </c>
      <c r="Q458" s="70">
        <v>0</v>
      </c>
      <c r="R458" s="65"/>
      <c r="S458" s="65"/>
      <c r="T458" s="77"/>
      <c r="U458" s="57"/>
      <c r="V458" s="57"/>
      <c r="W458" s="57"/>
      <c r="X458" s="57">
        <v>32.5</v>
      </c>
      <c r="Y458" s="106">
        <f>T458+U458+V458+W458+X458</f>
        <v>32.5</v>
      </c>
      <c r="Z458" s="46"/>
      <c r="AA458" s="81"/>
    </row>
    <row r="459" spans="1:27">
      <c r="A459" s="56"/>
      <c r="B459" s="57" t="s">
        <v>431</v>
      </c>
      <c r="C459" s="58">
        <v>908</v>
      </c>
      <c r="D459" s="83" t="s">
        <v>23</v>
      </c>
      <c r="E459" s="83" t="s">
        <v>176</v>
      </c>
      <c r="F459" s="58" t="s">
        <v>430</v>
      </c>
      <c r="G459" s="59">
        <v>500</v>
      </c>
      <c r="H459" s="55"/>
      <c r="I459" s="55">
        <v>165</v>
      </c>
      <c r="J459" s="73"/>
      <c r="K459" s="70">
        <v>158.69999999999999</v>
      </c>
      <c r="L459" s="70"/>
      <c r="M459" s="70"/>
      <c r="N459" s="70"/>
      <c r="O459" s="70"/>
      <c r="P459" s="55">
        <v>165</v>
      </c>
      <c r="Q459" s="70">
        <v>0</v>
      </c>
      <c r="R459" s="65"/>
      <c r="S459" s="65"/>
      <c r="T459" s="77"/>
      <c r="U459" s="57"/>
      <c r="V459" s="57"/>
      <c r="W459" s="57"/>
      <c r="X459" s="57">
        <v>165</v>
      </c>
      <c r="Y459" s="106">
        <f>T459+U459+V459+W459+X459</f>
        <v>165</v>
      </c>
      <c r="Z459" s="46"/>
      <c r="AA459" s="81"/>
    </row>
    <row r="460" spans="1:27" ht="60.75" customHeight="1">
      <c r="A460" s="56"/>
      <c r="B460" s="57" t="s">
        <v>432</v>
      </c>
      <c r="C460" s="58">
        <v>908</v>
      </c>
      <c r="D460" s="83" t="s">
        <v>23</v>
      </c>
      <c r="E460" s="83" t="s">
        <v>176</v>
      </c>
      <c r="F460" s="58" t="s">
        <v>433</v>
      </c>
      <c r="G460" s="59"/>
      <c r="H460" s="55">
        <f>H461</f>
        <v>0</v>
      </c>
      <c r="I460" s="55">
        <f>I461</f>
        <v>0.5</v>
      </c>
      <c r="J460" s="73">
        <f>J461</f>
        <v>0</v>
      </c>
      <c r="K460" s="55">
        <f>K461</f>
        <v>0.5</v>
      </c>
      <c r="L460" s="55"/>
      <c r="M460" s="55"/>
      <c r="N460" s="55"/>
      <c r="O460" s="70">
        <f t="shared" ref="O460:Y460" si="336">O461</f>
        <v>0</v>
      </c>
      <c r="P460" s="55">
        <f t="shared" si="336"/>
        <v>0.5</v>
      </c>
      <c r="Q460" s="70">
        <f t="shared" si="336"/>
        <v>0</v>
      </c>
      <c r="R460" s="70">
        <f t="shared" si="336"/>
        <v>0</v>
      </c>
      <c r="S460" s="70">
        <f t="shared" si="336"/>
        <v>0</v>
      </c>
      <c r="T460" s="76">
        <f t="shared" si="336"/>
        <v>0</v>
      </c>
      <c r="U460" s="55">
        <f t="shared" si="336"/>
        <v>0</v>
      </c>
      <c r="V460" s="55">
        <f t="shared" si="336"/>
        <v>0</v>
      </c>
      <c r="W460" s="55">
        <f t="shared" si="336"/>
        <v>0</v>
      </c>
      <c r="X460" s="55">
        <f t="shared" si="336"/>
        <v>0.5</v>
      </c>
      <c r="Y460" s="106">
        <f t="shared" si="336"/>
        <v>0.5</v>
      </c>
      <c r="Z460" s="46"/>
      <c r="AA460" s="81"/>
    </row>
    <row r="461" spans="1:27" ht="24.75" customHeight="1">
      <c r="A461" s="56"/>
      <c r="B461" s="57" t="s">
        <v>36</v>
      </c>
      <c r="C461" s="58">
        <v>908</v>
      </c>
      <c r="D461" s="83" t="s">
        <v>23</v>
      </c>
      <c r="E461" s="83" t="s">
        <v>176</v>
      </c>
      <c r="F461" s="58" t="s">
        <v>433</v>
      </c>
      <c r="G461" s="59">
        <v>200</v>
      </c>
      <c r="H461" s="55"/>
      <c r="I461" s="55">
        <v>0.5</v>
      </c>
      <c r="J461" s="73"/>
      <c r="K461" s="70">
        <v>0.5</v>
      </c>
      <c r="L461" s="70"/>
      <c r="M461" s="70"/>
      <c r="N461" s="70"/>
      <c r="O461" s="70"/>
      <c r="P461" s="55">
        <v>0.5</v>
      </c>
      <c r="Q461" s="65"/>
      <c r="R461" s="65"/>
      <c r="S461" s="65"/>
      <c r="T461" s="77"/>
      <c r="U461" s="57"/>
      <c r="V461" s="57"/>
      <c r="W461" s="57"/>
      <c r="X461" s="57">
        <v>0.5</v>
      </c>
      <c r="Y461" s="106">
        <f>T461+U461+V461+W461+X461</f>
        <v>0.5</v>
      </c>
      <c r="Z461" s="46"/>
      <c r="AA461" s="81"/>
    </row>
    <row r="462" spans="1:27" ht="18.75" hidden="1" customHeight="1">
      <c r="A462" s="56"/>
      <c r="B462" s="57" t="s">
        <v>434</v>
      </c>
      <c r="C462" s="58">
        <v>908</v>
      </c>
      <c r="D462" s="83" t="s">
        <v>23</v>
      </c>
      <c r="E462" s="83" t="s">
        <v>176</v>
      </c>
      <c r="F462" s="58" t="s">
        <v>435</v>
      </c>
      <c r="G462" s="59"/>
      <c r="H462" s="55"/>
      <c r="I462" s="55"/>
      <c r="J462" s="73">
        <f>J464+J463</f>
        <v>0</v>
      </c>
      <c r="K462" s="55">
        <f>K464+K463</f>
        <v>0</v>
      </c>
      <c r="L462" s="55"/>
      <c r="M462" s="55"/>
      <c r="N462" s="55"/>
      <c r="O462" s="70">
        <f t="shared" ref="O462:T462" si="337">O463+O464</f>
        <v>0</v>
      </c>
      <c r="P462" s="55">
        <f t="shared" si="337"/>
        <v>0</v>
      </c>
      <c r="Q462" s="70">
        <f t="shared" si="337"/>
        <v>0</v>
      </c>
      <c r="R462" s="70">
        <f t="shared" si="337"/>
        <v>0</v>
      </c>
      <c r="S462" s="70">
        <f t="shared" si="337"/>
        <v>0</v>
      </c>
      <c r="T462" s="76">
        <f t="shared" si="337"/>
        <v>0</v>
      </c>
      <c r="U462" s="57"/>
      <c r="V462" s="57"/>
      <c r="W462" s="57"/>
      <c r="X462" s="57"/>
      <c r="Y462" s="106"/>
      <c r="Z462" s="46"/>
      <c r="AA462" s="81"/>
    </row>
    <row r="463" spans="1:27" ht="23.25" hidden="1" customHeight="1">
      <c r="A463" s="56"/>
      <c r="B463" s="57" t="s">
        <v>36</v>
      </c>
      <c r="C463" s="58">
        <v>908</v>
      </c>
      <c r="D463" s="83" t="s">
        <v>23</v>
      </c>
      <c r="E463" s="83" t="s">
        <v>176</v>
      </c>
      <c r="F463" s="58" t="s">
        <v>435</v>
      </c>
      <c r="G463" s="59">
        <v>200</v>
      </c>
      <c r="H463" s="55"/>
      <c r="I463" s="55"/>
      <c r="J463" s="73">
        <v>0</v>
      </c>
      <c r="K463" s="55"/>
      <c r="L463" s="55"/>
      <c r="M463" s="55"/>
      <c r="N463" s="55"/>
      <c r="O463" s="70">
        <f>J463+K463+M463+N463+L463</f>
        <v>0</v>
      </c>
      <c r="P463" s="55"/>
      <c r="Q463" s="65"/>
      <c r="R463" s="65"/>
      <c r="S463" s="65"/>
      <c r="T463" s="77">
        <f>O463+P463+Q463+R463+S463</f>
        <v>0</v>
      </c>
      <c r="U463" s="57"/>
      <c r="V463" s="57"/>
      <c r="W463" s="57"/>
      <c r="X463" s="57"/>
      <c r="Y463" s="106"/>
      <c r="Z463" s="46"/>
      <c r="AA463" s="81"/>
    </row>
    <row r="464" spans="1:27" hidden="1">
      <c r="A464" s="56"/>
      <c r="B464" s="57" t="s">
        <v>431</v>
      </c>
      <c r="C464" s="58">
        <v>908</v>
      </c>
      <c r="D464" s="83" t="s">
        <v>23</v>
      </c>
      <c r="E464" s="83" t="s">
        <v>176</v>
      </c>
      <c r="F464" s="58" t="s">
        <v>435</v>
      </c>
      <c r="G464" s="59">
        <v>500</v>
      </c>
      <c r="H464" s="55"/>
      <c r="I464" s="55"/>
      <c r="J464" s="73"/>
      <c r="K464" s="70"/>
      <c r="L464" s="70"/>
      <c r="M464" s="70"/>
      <c r="N464" s="70"/>
      <c r="O464" s="70">
        <f>J464+K464+M464+N464+L464</f>
        <v>0</v>
      </c>
      <c r="P464" s="55"/>
      <c r="Q464" s="65"/>
      <c r="R464" s="65"/>
      <c r="S464" s="65"/>
      <c r="T464" s="77">
        <f>O464+P464+Q464+R464+S464</f>
        <v>0</v>
      </c>
      <c r="U464" s="57"/>
      <c r="V464" s="57"/>
      <c r="W464" s="57"/>
      <c r="X464" s="57"/>
      <c r="Y464" s="106"/>
      <c r="Z464" s="46"/>
      <c r="AA464" s="81"/>
    </row>
    <row r="465" spans="1:27" ht="39.75" customHeight="1">
      <c r="A465" s="56"/>
      <c r="B465" s="57" t="s">
        <v>436</v>
      </c>
      <c r="C465" s="58">
        <v>908</v>
      </c>
      <c r="D465" s="83" t="s">
        <v>23</v>
      </c>
      <c r="E465" s="83" t="s">
        <v>176</v>
      </c>
      <c r="F465" s="58" t="s">
        <v>437</v>
      </c>
      <c r="G465" s="59"/>
      <c r="H465" s="55"/>
      <c r="I465" s="55"/>
      <c r="J465" s="73">
        <f>J466</f>
        <v>7201.5</v>
      </c>
      <c r="K465" s="70">
        <f>K466</f>
        <v>0</v>
      </c>
      <c r="L465" s="70"/>
      <c r="M465" s="70"/>
      <c r="N465" s="70"/>
      <c r="O465" s="70">
        <f t="shared" ref="O465:Y465" si="338">O466</f>
        <v>10829.999999999998</v>
      </c>
      <c r="P465" s="55">
        <f t="shared" si="338"/>
        <v>0</v>
      </c>
      <c r="Q465" s="70">
        <f t="shared" si="338"/>
        <v>0</v>
      </c>
      <c r="R465" s="70">
        <f t="shared" si="338"/>
        <v>0</v>
      </c>
      <c r="S465" s="70">
        <f t="shared" si="338"/>
        <v>0</v>
      </c>
      <c r="T465" s="76">
        <f t="shared" si="338"/>
        <v>10220.699999999999</v>
      </c>
      <c r="U465" s="55">
        <f t="shared" si="338"/>
        <v>0</v>
      </c>
      <c r="V465" s="55">
        <f t="shared" si="338"/>
        <v>0</v>
      </c>
      <c r="W465" s="55">
        <f t="shared" si="338"/>
        <v>0</v>
      </c>
      <c r="X465" s="55">
        <f t="shared" si="338"/>
        <v>0</v>
      </c>
      <c r="Y465" s="106">
        <f t="shared" si="338"/>
        <v>9944.143</v>
      </c>
      <c r="Z465" s="46"/>
      <c r="AA465" s="81"/>
    </row>
    <row r="466" spans="1:27" ht="37.5">
      <c r="A466" s="56"/>
      <c r="B466" s="57" t="s">
        <v>438</v>
      </c>
      <c r="C466" s="58">
        <v>908</v>
      </c>
      <c r="D466" s="83" t="s">
        <v>23</v>
      </c>
      <c r="E466" s="83" t="s">
        <v>176</v>
      </c>
      <c r="F466" s="58" t="s">
        <v>439</v>
      </c>
      <c r="G466" s="59"/>
      <c r="H466" s="55"/>
      <c r="I466" s="55"/>
      <c r="J466" s="73">
        <f>J467+J468+J470</f>
        <v>7201.5</v>
      </c>
      <c r="K466" s="55">
        <f>K467+K468+K470</f>
        <v>0</v>
      </c>
      <c r="L466" s="73">
        <f>L467+L468+L470</f>
        <v>0</v>
      </c>
      <c r="M466" s="73">
        <f>M467+M468+M470</f>
        <v>0</v>
      </c>
      <c r="N466" s="73">
        <f>N467+N468+N470</f>
        <v>0</v>
      </c>
      <c r="O466" s="70">
        <f t="shared" ref="O466:T466" si="339">O467+O468+O470+O469</f>
        <v>10829.999999999998</v>
      </c>
      <c r="P466" s="55">
        <f t="shared" si="339"/>
        <v>0</v>
      </c>
      <c r="Q466" s="70">
        <f t="shared" si="339"/>
        <v>0</v>
      </c>
      <c r="R466" s="70">
        <f t="shared" si="339"/>
        <v>0</v>
      </c>
      <c r="S466" s="70">
        <f t="shared" si="339"/>
        <v>0</v>
      </c>
      <c r="T466" s="76">
        <f t="shared" si="339"/>
        <v>10220.699999999999</v>
      </c>
      <c r="U466" s="55">
        <f t="shared" ref="U466:Y466" si="340">U467+U468+U470+U469</f>
        <v>0</v>
      </c>
      <c r="V466" s="55">
        <f t="shared" si="340"/>
        <v>0</v>
      </c>
      <c r="W466" s="55">
        <f t="shared" si="340"/>
        <v>0</v>
      </c>
      <c r="X466" s="55">
        <f t="shared" si="340"/>
        <v>0</v>
      </c>
      <c r="Y466" s="106">
        <f t="shared" si="340"/>
        <v>9944.143</v>
      </c>
      <c r="Z466" s="46"/>
      <c r="AA466" s="81"/>
    </row>
    <row r="467" spans="1:27" ht="60.75" customHeight="1">
      <c r="A467" s="56"/>
      <c r="B467" s="57" t="s">
        <v>32</v>
      </c>
      <c r="C467" s="58">
        <v>908</v>
      </c>
      <c r="D467" s="83" t="s">
        <v>23</v>
      </c>
      <c r="E467" s="83" t="s">
        <v>176</v>
      </c>
      <c r="F467" s="58" t="s">
        <v>439</v>
      </c>
      <c r="G467" s="59">
        <v>100</v>
      </c>
      <c r="H467" s="55"/>
      <c r="I467" s="55"/>
      <c r="J467" s="73">
        <f>3029.3+914.8</f>
        <v>3944.1000000000004</v>
      </c>
      <c r="K467" s="70"/>
      <c r="L467" s="70"/>
      <c r="M467" s="70"/>
      <c r="N467" s="70"/>
      <c r="O467" s="70">
        <v>5369.2</v>
      </c>
      <c r="P467" s="55">
        <v>0</v>
      </c>
      <c r="Q467" s="70"/>
      <c r="R467" s="70"/>
      <c r="S467" s="70"/>
      <c r="T467" s="77">
        <f>6151.2-483</f>
        <v>5668.2</v>
      </c>
      <c r="U467" s="57"/>
      <c r="V467" s="57"/>
      <c r="W467" s="57"/>
      <c r="X467" s="57"/>
      <c r="Y467" s="106">
        <v>5391.643</v>
      </c>
      <c r="Z467" s="46"/>
      <c r="AA467" s="81"/>
    </row>
    <row r="468" spans="1:27" ht="24" customHeight="1">
      <c r="A468" s="56"/>
      <c r="B468" s="57" t="s">
        <v>36</v>
      </c>
      <c r="C468" s="58">
        <v>908</v>
      </c>
      <c r="D468" s="83" t="s">
        <v>23</v>
      </c>
      <c r="E468" s="83" t="s">
        <v>176</v>
      </c>
      <c r="F468" s="58" t="s">
        <v>439</v>
      </c>
      <c r="G468" s="59">
        <v>200</v>
      </c>
      <c r="H468" s="55"/>
      <c r="I468" s="55"/>
      <c r="J468" s="73">
        <f>1334.8+196.5+266.4+25+1326.2</f>
        <v>3148.8999999999996</v>
      </c>
      <c r="K468" s="70"/>
      <c r="L468" s="70"/>
      <c r="M468" s="70"/>
      <c r="N468" s="70"/>
      <c r="O468" s="70">
        <v>5328.9</v>
      </c>
      <c r="P468" s="55">
        <v>0</v>
      </c>
      <c r="Q468" s="70">
        <v>0</v>
      </c>
      <c r="R468" s="65"/>
      <c r="S468" s="65"/>
      <c r="T468" s="77">
        <v>4423.7</v>
      </c>
      <c r="U468" s="55">
        <v>0</v>
      </c>
      <c r="V468" s="57"/>
      <c r="W468" s="57"/>
      <c r="X468" s="57"/>
      <c r="Y468" s="106">
        <f t="shared" ref="Y468:Y470" si="341">T468+U468+V468+W468+X468</f>
        <v>4423.7</v>
      </c>
      <c r="Z468" s="46"/>
      <c r="AA468" s="81"/>
    </row>
    <row r="469" spans="1:27" ht="23.25" customHeight="1">
      <c r="A469" s="56"/>
      <c r="B469" s="57" t="s">
        <v>440</v>
      </c>
      <c r="C469" s="58">
        <v>908</v>
      </c>
      <c r="D469" s="83" t="s">
        <v>23</v>
      </c>
      <c r="E469" s="83" t="s">
        <v>176</v>
      </c>
      <c r="F469" s="58" t="s">
        <v>439</v>
      </c>
      <c r="G469" s="59">
        <v>400</v>
      </c>
      <c r="H469" s="55"/>
      <c r="I469" s="55"/>
      <c r="J469" s="73"/>
      <c r="K469" s="70"/>
      <c r="L469" s="70"/>
      <c r="M469" s="70"/>
      <c r="N469" s="70"/>
      <c r="O469" s="70">
        <v>0</v>
      </c>
      <c r="P469" s="55">
        <v>0</v>
      </c>
      <c r="Q469" s="70">
        <v>0</v>
      </c>
      <c r="R469" s="65"/>
      <c r="S469" s="65"/>
      <c r="T469" s="77">
        <f>O469+P469+Q469+R469+S469</f>
        <v>0</v>
      </c>
      <c r="U469" s="57"/>
      <c r="V469" s="57"/>
      <c r="W469" s="57"/>
      <c r="X469" s="57"/>
      <c r="Y469" s="106">
        <f t="shared" si="341"/>
        <v>0</v>
      </c>
      <c r="Z469" s="46"/>
      <c r="AA469" s="81"/>
    </row>
    <row r="470" spans="1:27">
      <c r="A470" s="56"/>
      <c r="B470" s="57" t="s">
        <v>38</v>
      </c>
      <c r="C470" s="58">
        <v>908</v>
      </c>
      <c r="D470" s="83" t="s">
        <v>23</v>
      </c>
      <c r="E470" s="83" t="s">
        <v>176</v>
      </c>
      <c r="F470" s="58" t="s">
        <v>439</v>
      </c>
      <c r="G470" s="59">
        <v>800</v>
      </c>
      <c r="H470" s="55"/>
      <c r="I470" s="55"/>
      <c r="J470" s="73">
        <f>69+23.3+16.2</f>
        <v>108.5</v>
      </c>
      <c r="K470" s="70"/>
      <c r="L470" s="70"/>
      <c r="M470" s="70"/>
      <c r="N470" s="70"/>
      <c r="O470" s="70">
        <v>131.9</v>
      </c>
      <c r="P470" s="55">
        <v>0</v>
      </c>
      <c r="Q470" s="70">
        <v>0</v>
      </c>
      <c r="R470" s="65"/>
      <c r="S470" s="65"/>
      <c r="T470" s="77">
        <v>128.80000000000001</v>
      </c>
      <c r="U470" s="57"/>
      <c r="V470" s="57"/>
      <c r="W470" s="57"/>
      <c r="X470" s="57"/>
      <c r="Y470" s="106">
        <f t="shared" si="341"/>
        <v>128.80000000000001</v>
      </c>
      <c r="Z470" s="46"/>
      <c r="AA470" s="81"/>
    </row>
    <row r="471" spans="1:27" ht="44.1" customHeight="1">
      <c r="A471" s="56"/>
      <c r="B471" s="57" t="s">
        <v>441</v>
      </c>
      <c r="C471" s="58">
        <v>908</v>
      </c>
      <c r="D471" s="83" t="s">
        <v>23</v>
      </c>
      <c r="E471" s="83" t="s">
        <v>176</v>
      </c>
      <c r="F471" s="58" t="s">
        <v>42</v>
      </c>
      <c r="G471" s="59"/>
      <c r="H471" s="55">
        <f>H476+H478</f>
        <v>851</v>
      </c>
      <c r="I471" s="55">
        <f>I476</f>
        <v>0</v>
      </c>
      <c r="J471" s="73">
        <f>J476+J478+J472</f>
        <v>347</v>
      </c>
      <c r="K471" s="55">
        <f>K476+K478+K472</f>
        <v>0</v>
      </c>
      <c r="L471" s="55"/>
      <c r="M471" s="55"/>
      <c r="N471" s="55"/>
      <c r="O471" s="70">
        <f t="shared" ref="O471:S471" si="342">O476+O478+O472</f>
        <v>410.1</v>
      </c>
      <c r="P471" s="55">
        <f t="shared" si="342"/>
        <v>0</v>
      </c>
      <c r="Q471" s="70">
        <f t="shared" si="342"/>
        <v>0</v>
      </c>
      <c r="R471" s="70">
        <f t="shared" si="342"/>
        <v>0</v>
      </c>
      <c r="S471" s="70">
        <f t="shared" si="342"/>
        <v>0</v>
      </c>
      <c r="T471" s="76">
        <f t="shared" ref="T471:Y471" si="343">T476+T478+T472+T480</f>
        <v>1013</v>
      </c>
      <c r="U471" s="55">
        <f t="shared" si="343"/>
        <v>0</v>
      </c>
      <c r="V471" s="55">
        <f t="shared" si="343"/>
        <v>0</v>
      </c>
      <c r="W471" s="55">
        <f t="shared" si="343"/>
        <v>0</v>
      </c>
      <c r="X471" s="55">
        <f t="shared" si="343"/>
        <v>0</v>
      </c>
      <c r="Y471" s="106">
        <f t="shared" si="343"/>
        <v>1055.9571000000001</v>
      </c>
      <c r="Z471" s="46"/>
      <c r="AA471" s="81"/>
    </row>
    <row r="472" spans="1:27">
      <c r="A472" s="56"/>
      <c r="B472" s="57" t="s">
        <v>174</v>
      </c>
      <c r="C472" s="58">
        <v>908</v>
      </c>
      <c r="D472" s="83" t="s">
        <v>23</v>
      </c>
      <c r="E472" s="83" t="s">
        <v>176</v>
      </c>
      <c r="F472" s="58" t="s">
        <v>175</v>
      </c>
      <c r="G472" s="59"/>
      <c r="H472" s="55"/>
      <c r="I472" s="55"/>
      <c r="J472" s="73">
        <f>J474</f>
        <v>0</v>
      </c>
      <c r="K472" s="55">
        <f>K474</f>
        <v>0</v>
      </c>
      <c r="L472" s="55"/>
      <c r="M472" s="55"/>
      <c r="N472" s="55"/>
      <c r="O472" s="70">
        <f t="shared" ref="O472:S472" si="344">O474</f>
        <v>0</v>
      </c>
      <c r="P472" s="55">
        <f t="shared" si="344"/>
        <v>0</v>
      </c>
      <c r="Q472" s="70">
        <f t="shared" si="344"/>
        <v>0</v>
      </c>
      <c r="R472" s="70">
        <f t="shared" si="344"/>
        <v>0</v>
      </c>
      <c r="S472" s="70">
        <f t="shared" si="344"/>
        <v>0</v>
      </c>
      <c r="T472" s="76">
        <f t="shared" ref="T472:X472" si="345">T474+T473</f>
        <v>0</v>
      </c>
      <c r="U472" s="55">
        <f t="shared" si="345"/>
        <v>0</v>
      </c>
      <c r="V472" s="55">
        <f t="shared" si="345"/>
        <v>0</v>
      </c>
      <c r="W472" s="55">
        <f t="shared" si="345"/>
        <v>0</v>
      </c>
      <c r="X472" s="55">
        <f t="shared" si="345"/>
        <v>0</v>
      </c>
      <c r="Y472" s="106">
        <f>Y474+Y473+Y475</f>
        <v>341.62094999999999</v>
      </c>
      <c r="Z472" s="46"/>
      <c r="AA472" s="81"/>
    </row>
    <row r="473" spans="1:27" ht="57.75" customHeight="1">
      <c r="A473" s="56"/>
      <c r="B473" s="57" t="s">
        <v>32</v>
      </c>
      <c r="C473" s="58">
        <v>908</v>
      </c>
      <c r="D473" s="83" t="s">
        <v>23</v>
      </c>
      <c r="E473" s="83" t="s">
        <v>176</v>
      </c>
      <c r="F473" s="58" t="s">
        <v>175</v>
      </c>
      <c r="G473" s="59">
        <v>100</v>
      </c>
      <c r="H473" s="55"/>
      <c r="I473" s="55"/>
      <c r="J473" s="73"/>
      <c r="K473" s="55"/>
      <c r="L473" s="55"/>
      <c r="M473" s="55"/>
      <c r="N473" s="55"/>
      <c r="O473" s="70"/>
      <c r="P473" s="55"/>
      <c r="Q473" s="70"/>
      <c r="R473" s="70"/>
      <c r="S473" s="70"/>
      <c r="T473" s="77"/>
      <c r="U473" s="86"/>
      <c r="V473" s="86"/>
      <c r="W473" s="86"/>
      <c r="X473" s="86"/>
      <c r="Y473" s="106">
        <v>238.93</v>
      </c>
      <c r="Z473" s="46"/>
      <c r="AA473" s="81"/>
    </row>
    <row r="474" spans="1:27" ht="24.75" customHeight="1">
      <c r="A474" s="56"/>
      <c r="B474" s="57" t="s">
        <v>36</v>
      </c>
      <c r="C474" s="58">
        <v>908</v>
      </c>
      <c r="D474" s="83" t="s">
        <v>23</v>
      </c>
      <c r="E474" s="83" t="s">
        <v>176</v>
      </c>
      <c r="F474" s="58" t="s">
        <v>175</v>
      </c>
      <c r="G474" s="59">
        <v>200</v>
      </c>
      <c r="H474" s="55"/>
      <c r="I474" s="55"/>
      <c r="J474" s="73">
        <v>0</v>
      </c>
      <c r="K474" s="55"/>
      <c r="L474" s="55"/>
      <c r="M474" s="55"/>
      <c r="N474" s="55"/>
      <c r="O474" s="70">
        <f>J474+K474+M474+N474+L474</f>
        <v>0</v>
      </c>
      <c r="P474" s="55"/>
      <c r="Q474" s="65"/>
      <c r="R474" s="65"/>
      <c r="S474" s="65"/>
      <c r="T474" s="77"/>
      <c r="U474" s="86"/>
      <c r="V474" s="86"/>
      <c r="W474" s="86"/>
      <c r="X474" s="86"/>
      <c r="Y474" s="106">
        <v>16.7</v>
      </c>
      <c r="Z474" s="46"/>
      <c r="AA474" s="81"/>
    </row>
    <row r="475" spans="1:27" ht="21" customHeight="1">
      <c r="A475" s="56"/>
      <c r="B475" s="57" t="s">
        <v>38</v>
      </c>
      <c r="C475" s="58">
        <v>908</v>
      </c>
      <c r="D475" s="83" t="s">
        <v>23</v>
      </c>
      <c r="E475" s="83" t="s">
        <v>176</v>
      </c>
      <c r="F475" s="58" t="s">
        <v>175</v>
      </c>
      <c r="G475" s="59">
        <v>800</v>
      </c>
      <c r="H475" s="55"/>
      <c r="I475" s="55"/>
      <c r="J475" s="73"/>
      <c r="K475" s="55"/>
      <c r="L475" s="55"/>
      <c r="M475" s="55"/>
      <c r="N475" s="55"/>
      <c r="O475" s="70"/>
      <c r="P475" s="55"/>
      <c r="Q475" s="65"/>
      <c r="R475" s="65"/>
      <c r="S475" s="65"/>
      <c r="T475" s="77"/>
      <c r="U475" s="86"/>
      <c r="V475" s="86"/>
      <c r="W475" s="86"/>
      <c r="X475" s="86"/>
      <c r="Y475" s="106">
        <v>85.990949999999998</v>
      </c>
      <c r="Z475" s="46"/>
      <c r="AA475" s="81"/>
    </row>
    <row r="476" spans="1:27" ht="37.5">
      <c r="A476" s="56"/>
      <c r="B476" s="57" t="s">
        <v>442</v>
      </c>
      <c r="C476" s="58">
        <v>908</v>
      </c>
      <c r="D476" s="83" t="s">
        <v>23</v>
      </c>
      <c r="E476" s="83" t="s">
        <v>176</v>
      </c>
      <c r="F476" s="58" t="s">
        <v>443</v>
      </c>
      <c r="G476" s="59"/>
      <c r="H476" s="55">
        <f>H477</f>
        <v>324.8</v>
      </c>
      <c r="I476" s="55">
        <f>I477</f>
        <v>0</v>
      </c>
      <c r="J476" s="73">
        <f>J477</f>
        <v>347</v>
      </c>
      <c r="K476" s="55">
        <f>K477</f>
        <v>0</v>
      </c>
      <c r="L476" s="55"/>
      <c r="M476" s="55"/>
      <c r="N476" s="55"/>
      <c r="O476" s="70">
        <f t="shared" ref="O476:Y476" si="346">O477</f>
        <v>410.1</v>
      </c>
      <c r="P476" s="55">
        <f t="shared" si="346"/>
        <v>0</v>
      </c>
      <c r="Q476" s="70">
        <f t="shared" si="346"/>
        <v>0</v>
      </c>
      <c r="R476" s="70">
        <f t="shared" si="346"/>
        <v>0</v>
      </c>
      <c r="S476" s="70">
        <f t="shared" si="346"/>
        <v>0</v>
      </c>
      <c r="T476" s="76">
        <f t="shared" si="346"/>
        <v>486.9</v>
      </c>
      <c r="U476" s="55">
        <f t="shared" si="346"/>
        <v>0</v>
      </c>
      <c r="V476" s="55">
        <f t="shared" si="346"/>
        <v>0</v>
      </c>
      <c r="W476" s="55">
        <f t="shared" si="346"/>
        <v>0</v>
      </c>
      <c r="X476" s="55">
        <f t="shared" si="346"/>
        <v>0</v>
      </c>
      <c r="Y476" s="106">
        <f t="shared" si="346"/>
        <v>459.9</v>
      </c>
      <c r="Z476" s="46"/>
      <c r="AA476" s="81"/>
    </row>
    <row r="477" spans="1:27" ht="24.75" customHeight="1">
      <c r="A477" s="56"/>
      <c r="B477" s="57" t="s">
        <v>444</v>
      </c>
      <c r="C477" s="58">
        <v>908</v>
      </c>
      <c r="D477" s="83" t="s">
        <v>23</v>
      </c>
      <c r="E477" s="83" t="s">
        <v>176</v>
      </c>
      <c r="F477" s="58" t="s">
        <v>443</v>
      </c>
      <c r="G477" s="59">
        <v>200</v>
      </c>
      <c r="H477" s="55">
        <v>324.8</v>
      </c>
      <c r="I477" s="55"/>
      <c r="J477" s="73">
        <v>347</v>
      </c>
      <c r="K477" s="70"/>
      <c r="L477" s="70"/>
      <c r="M477" s="70"/>
      <c r="N477" s="70"/>
      <c r="O477" s="70">
        <v>410.1</v>
      </c>
      <c r="P477" s="55">
        <v>0</v>
      </c>
      <c r="Q477" s="65"/>
      <c r="R477" s="65"/>
      <c r="S477" s="65"/>
      <c r="T477" s="77">
        <v>486.9</v>
      </c>
      <c r="U477" s="55"/>
      <c r="V477" s="55"/>
      <c r="W477" s="57"/>
      <c r="X477" s="57"/>
      <c r="Y477" s="106">
        <v>459.9</v>
      </c>
      <c r="Z477" s="46"/>
      <c r="AA477" s="81"/>
    </row>
    <row r="478" spans="1:27" ht="27" customHeight="1">
      <c r="A478" s="56"/>
      <c r="B478" s="57" t="s">
        <v>445</v>
      </c>
      <c r="C478" s="58">
        <v>908</v>
      </c>
      <c r="D478" s="83" t="s">
        <v>23</v>
      </c>
      <c r="E478" s="83" t="s">
        <v>176</v>
      </c>
      <c r="F478" s="58" t="s">
        <v>446</v>
      </c>
      <c r="G478" s="59"/>
      <c r="H478" s="55">
        <f>H479</f>
        <v>526.20000000000005</v>
      </c>
      <c r="I478" s="55"/>
      <c r="J478" s="73">
        <f>J479</f>
        <v>0</v>
      </c>
      <c r="K478" s="55">
        <f>K479</f>
        <v>0</v>
      </c>
      <c r="L478" s="55"/>
      <c r="M478" s="55"/>
      <c r="N478" s="55"/>
      <c r="O478" s="70">
        <f t="shared" ref="O478:Y478" si="347">O479</f>
        <v>0</v>
      </c>
      <c r="P478" s="55">
        <f t="shared" si="347"/>
        <v>0</v>
      </c>
      <c r="Q478" s="70">
        <f t="shared" si="347"/>
        <v>0</v>
      </c>
      <c r="R478" s="70">
        <f t="shared" si="347"/>
        <v>0</v>
      </c>
      <c r="S478" s="70">
        <f t="shared" si="347"/>
        <v>0</v>
      </c>
      <c r="T478" s="76">
        <f t="shared" si="347"/>
        <v>526.1</v>
      </c>
      <c r="U478" s="55">
        <f t="shared" si="347"/>
        <v>0</v>
      </c>
      <c r="V478" s="55">
        <f t="shared" si="347"/>
        <v>0</v>
      </c>
      <c r="W478" s="57">
        <f t="shared" si="347"/>
        <v>0</v>
      </c>
      <c r="X478" s="57">
        <f t="shared" si="347"/>
        <v>0</v>
      </c>
      <c r="Y478" s="106">
        <f t="shared" si="347"/>
        <v>254.43615</v>
      </c>
      <c r="Z478" s="46"/>
      <c r="AA478" s="81"/>
    </row>
    <row r="479" spans="1:27" ht="24" customHeight="1">
      <c r="A479" s="56"/>
      <c r="B479" s="57" t="s">
        <v>36</v>
      </c>
      <c r="C479" s="58">
        <v>908</v>
      </c>
      <c r="D479" s="83" t="s">
        <v>23</v>
      </c>
      <c r="E479" s="83" t="s">
        <v>176</v>
      </c>
      <c r="F479" s="58" t="s">
        <v>446</v>
      </c>
      <c r="G479" s="59">
        <v>200</v>
      </c>
      <c r="H479" s="55">
        <v>526.20000000000005</v>
      </c>
      <c r="I479" s="55"/>
      <c r="J479" s="73"/>
      <c r="K479" s="70"/>
      <c r="L479" s="70"/>
      <c r="M479" s="70"/>
      <c r="N479" s="70"/>
      <c r="O479" s="70">
        <f>J479+K479+M479+N479+L479</f>
        <v>0</v>
      </c>
      <c r="P479" s="55"/>
      <c r="Q479" s="65"/>
      <c r="R479" s="65"/>
      <c r="S479" s="65"/>
      <c r="T479" s="77">
        <f>300.6+225.5</f>
        <v>526.1</v>
      </c>
      <c r="U479" s="55"/>
      <c r="V479" s="55"/>
      <c r="W479" s="57"/>
      <c r="X479" s="57"/>
      <c r="Y479" s="106">
        <v>254.43615</v>
      </c>
      <c r="Z479" s="46"/>
      <c r="AA479" s="81"/>
    </row>
    <row r="480" spans="1:27" ht="24.75" hidden="1" customHeight="1">
      <c r="A480" s="56"/>
      <c r="B480" s="57" t="s">
        <v>447</v>
      </c>
      <c r="C480" s="58">
        <v>908</v>
      </c>
      <c r="D480" s="83" t="s">
        <v>23</v>
      </c>
      <c r="E480" s="83" t="s">
        <v>176</v>
      </c>
      <c r="F480" s="58" t="s">
        <v>448</v>
      </c>
      <c r="G480" s="59"/>
      <c r="H480" s="55"/>
      <c r="I480" s="55"/>
      <c r="J480" s="73"/>
      <c r="K480" s="70"/>
      <c r="L480" s="70"/>
      <c r="M480" s="70"/>
      <c r="N480" s="70"/>
      <c r="O480" s="70"/>
      <c r="P480" s="55"/>
      <c r="Q480" s="65"/>
      <c r="R480" s="65"/>
      <c r="S480" s="65"/>
      <c r="T480" s="77">
        <f t="shared" ref="T480:Y481" si="348">T481</f>
        <v>0</v>
      </c>
      <c r="U480" s="55">
        <f t="shared" si="348"/>
        <v>0</v>
      </c>
      <c r="V480" s="55">
        <f t="shared" si="348"/>
        <v>0</v>
      </c>
      <c r="W480" s="57">
        <f t="shared" si="348"/>
        <v>0</v>
      </c>
      <c r="X480" s="55">
        <f t="shared" si="348"/>
        <v>0</v>
      </c>
      <c r="Y480" s="106">
        <f t="shared" si="348"/>
        <v>0</v>
      </c>
      <c r="Z480" s="46"/>
      <c r="AA480" s="81"/>
    </row>
    <row r="481" spans="1:27" ht="38.1" hidden="1" customHeight="1">
      <c r="A481" s="56"/>
      <c r="B481" s="57" t="s">
        <v>449</v>
      </c>
      <c r="C481" s="58">
        <v>908</v>
      </c>
      <c r="D481" s="83" t="s">
        <v>23</v>
      </c>
      <c r="E481" s="83" t="s">
        <v>176</v>
      </c>
      <c r="F481" s="58" t="s">
        <v>450</v>
      </c>
      <c r="G481" s="59"/>
      <c r="H481" s="55"/>
      <c r="I481" s="55"/>
      <c r="J481" s="73"/>
      <c r="K481" s="70"/>
      <c r="L481" s="70"/>
      <c r="M481" s="70"/>
      <c r="N481" s="70"/>
      <c r="O481" s="70"/>
      <c r="P481" s="55"/>
      <c r="Q481" s="65"/>
      <c r="R481" s="65"/>
      <c r="S481" s="65"/>
      <c r="T481" s="77">
        <f t="shared" si="348"/>
        <v>0</v>
      </c>
      <c r="U481" s="55">
        <f t="shared" si="348"/>
        <v>0</v>
      </c>
      <c r="V481" s="55">
        <f t="shared" si="348"/>
        <v>0</v>
      </c>
      <c r="W481" s="57">
        <f t="shared" si="348"/>
        <v>0</v>
      </c>
      <c r="X481" s="55">
        <f t="shared" si="348"/>
        <v>0</v>
      </c>
      <c r="Y481" s="106">
        <f t="shared" si="348"/>
        <v>0</v>
      </c>
      <c r="Z481" s="46"/>
      <c r="AA481" s="81"/>
    </row>
    <row r="482" spans="1:27" hidden="1">
      <c r="A482" s="56"/>
      <c r="B482" s="57" t="s">
        <v>431</v>
      </c>
      <c r="C482" s="58">
        <v>908</v>
      </c>
      <c r="D482" s="83" t="s">
        <v>23</v>
      </c>
      <c r="E482" s="83" t="s">
        <v>176</v>
      </c>
      <c r="F482" s="58" t="s">
        <v>450</v>
      </c>
      <c r="G482" s="59">
        <v>500</v>
      </c>
      <c r="H482" s="55"/>
      <c r="I482" s="55"/>
      <c r="J482" s="73"/>
      <c r="K482" s="70"/>
      <c r="L482" s="70"/>
      <c r="M482" s="70"/>
      <c r="N482" s="70"/>
      <c r="O482" s="70"/>
      <c r="P482" s="55"/>
      <c r="Q482" s="65"/>
      <c r="R482" s="65"/>
      <c r="S482" s="65"/>
      <c r="T482" s="77"/>
      <c r="U482" s="55"/>
      <c r="V482" s="55"/>
      <c r="W482" s="57"/>
      <c r="X482" s="55"/>
      <c r="Y482" s="106">
        <f>T482+U482+V482+W482+X482</f>
        <v>0</v>
      </c>
      <c r="Z482" s="46"/>
      <c r="AA482" s="81"/>
    </row>
    <row r="483" spans="1:27" ht="24" customHeight="1">
      <c r="A483" s="56"/>
      <c r="B483" s="57" t="s">
        <v>451</v>
      </c>
      <c r="C483" s="58">
        <v>908</v>
      </c>
      <c r="D483" s="83" t="s">
        <v>25</v>
      </c>
      <c r="E483" s="83"/>
      <c r="F483" s="58"/>
      <c r="G483" s="59"/>
      <c r="H483" s="55">
        <f t="shared" ref="H483:K484" si="349">H484</f>
        <v>2606.4</v>
      </c>
      <c r="I483" s="55">
        <f t="shared" si="349"/>
        <v>0</v>
      </c>
      <c r="J483" s="73">
        <f t="shared" si="349"/>
        <v>2333.5</v>
      </c>
      <c r="K483" s="55">
        <f t="shared" si="349"/>
        <v>0</v>
      </c>
      <c r="L483" s="55"/>
      <c r="M483" s="55"/>
      <c r="N483" s="55"/>
      <c r="O483" s="70">
        <f>O484</f>
        <v>5358.2</v>
      </c>
      <c r="P483" s="55">
        <f t="shared" ref="P483:Y484" si="350">P484</f>
        <v>0</v>
      </c>
      <c r="Q483" s="70">
        <f t="shared" si="350"/>
        <v>0</v>
      </c>
      <c r="R483" s="70">
        <f t="shared" si="350"/>
        <v>0</v>
      </c>
      <c r="S483" s="70">
        <f t="shared" si="350"/>
        <v>0</v>
      </c>
      <c r="T483" s="76">
        <f t="shared" si="350"/>
        <v>6309.2</v>
      </c>
      <c r="U483" s="55">
        <f t="shared" si="350"/>
        <v>0</v>
      </c>
      <c r="V483" s="55">
        <f t="shared" si="350"/>
        <v>0</v>
      </c>
      <c r="W483" s="55">
        <f t="shared" si="350"/>
        <v>0</v>
      </c>
      <c r="X483" s="55">
        <f t="shared" si="350"/>
        <v>0</v>
      </c>
      <c r="Y483" s="106">
        <f t="shared" si="350"/>
        <v>6358.6479999999992</v>
      </c>
      <c r="Z483" s="46"/>
      <c r="AA483" s="81"/>
    </row>
    <row r="484" spans="1:27" ht="37.5">
      <c r="A484" s="56"/>
      <c r="B484" s="57" t="s">
        <v>452</v>
      </c>
      <c r="C484" s="58">
        <v>908</v>
      </c>
      <c r="D484" s="83" t="s">
        <v>25</v>
      </c>
      <c r="E484" s="83" t="s">
        <v>350</v>
      </c>
      <c r="F484" s="58"/>
      <c r="G484" s="59"/>
      <c r="H484" s="55">
        <f t="shared" si="349"/>
        <v>2606.4</v>
      </c>
      <c r="I484" s="55">
        <f t="shared" si="349"/>
        <v>0</v>
      </c>
      <c r="J484" s="73">
        <f t="shared" si="349"/>
        <v>2333.5</v>
      </c>
      <c r="K484" s="55">
        <f t="shared" si="349"/>
        <v>0</v>
      </c>
      <c r="L484" s="55"/>
      <c r="M484" s="55"/>
      <c r="N484" s="55"/>
      <c r="O484" s="70">
        <f>O485</f>
        <v>5358.2</v>
      </c>
      <c r="P484" s="55">
        <f t="shared" si="350"/>
        <v>0</v>
      </c>
      <c r="Q484" s="70">
        <f t="shared" si="350"/>
        <v>0</v>
      </c>
      <c r="R484" s="70">
        <f t="shared" si="350"/>
        <v>0</v>
      </c>
      <c r="S484" s="70">
        <f t="shared" si="350"/>
        <v>0</v>
      </c>
      <c r="T484" s="76">
        <f t="shared" si="350"/>
        <v>6309.2</v>
      </c>
      <c r="U484" s="55">
        <f t="shared" si="350"/>
        <v>0</v>
      </c>
      <c r="V484" s="55">
        <f t="shared" si="350"/>
        <v>0</v>
      </c>
      <c r="W484" s="55">
        <f t="shared" si="350"/>
        <v>0</v>
      </c>
      <c r="X484" s="55">
        <f t="shared" si="350"/>
        <v>0</v>
      </c>
      <c r="Y484" s="106">
        <f t="shared" si="350"/>
        <v>6358.6479999999992</v>
      </c>
      <c r="Z484" s="46"/>
      <c r="AA484" s="81"/>
    </row>
    <row r="485" spans="1:27" ht="59.25" customHeight="1">
      <c r="A485" s="56"/>
      <c r="B485" s="57" t="s">
        <v>453</v>
      </c>
      <c r="C485" s="58">
        <v>908</v>
      </c>
      <c r="D485" s="83" t="s">
        <v>25</v>
      </c>
      <c r="E485" s="83" t="s">
        <v>350</v>
      </c>
      <c r="F485" s="58" t="s">
        <v>454</v>
      </c>
      <c r="G485" s="59"/>
      <c r="H485" s="55">
        <f>H486+H492+H489</f>
        <v>2606.4</v>
      </c>
      <c r="I485" s="55">
        <f>I486+I492+I489</f>
        <v>0</v>
      </c>
      <c r="J485" s="73">
        <f>J486+J492+J489</f>
        <v>2333.5</v>
      </c>
      <c r="K485" s="55">
        <f>K486+K492+K489</f>
        <v>0</v>
      </c>
      <c r="L485" s="55"/>
      <c r="M485" s="55"/>
      <c r="N485" s="55"/>
      <c r="O485" s="70">
        <f t="shared" ref="O485:T485" si="351">O486+O489+O492</f>
        <v>5358.2</v>
      </c>
      <c r="P485" s="55">
        <f t="shared" si="351"/>
        <v>0</v>
      </c>
      <c r="Q485" s="70">
        <f t="shared" si="351"/>
        <v>0</v>
      </c>
      <c r="R485" s="70">
        <f t="shared" si="351"/>
        <v>0</v>
      </c>
      <c r="S485" s="70">
        <f t="shared" si="351"/>
        <v>0</v>
      </c>
      <c r="T485" s="76">
        <f t="shared" si="351"/>
        <v>6309.2</v>
      </c>
      <c r="U485" s="55">
        <f t="shared" ref="U485:Y485" si="352">U486+U489+U492</f>
        <v>0</v>
      </c>
      <c r="V485" s="55">
        <f t="shared" si="352"/>
        <v>0</v>
      </c>
      <c r="W485" s="55">
        <f t="shared" si="352"/>
        <v>0</v>
      </c>
      <c r="X485" s="55">
        <f t="shared" si="352"/>
        <v>0</v>
      </c>
      <c r="Y485" s="106">
        <f t="shared" si="352"/>
        <v>6358.6479999999992</v>
      </c>
      <c r="Z485" s="46"/>
      <c r="AA485" s="81"/>
    </row>
    <row r="486" spans="1:27" ht="39" customHeight="1">
      <c r="A486" s="56"/>
      <c r="B486" s="57" t="s">
        <v>455</v>
      </c>
      <c r="C486" s="58">
        <v>908</v>
      </c>
      <c r="D486" s="83" t="s">
        <v>25</v>
      </c>
      <c r="E486" s="83" t="s">
        <v>350</v>
      </c>
      <c r="F486" s="58" t="s">
        <v>456</v>
      </c>
      <c r="G486" s="59"/>
      <c r="H486" s="55">
        <f t="shared" ref="H486:K487" si="353">H487</f>
        <v>1010</v>
      </c>
      <c r="I486" s="55">
        <f t="shared" si="353"/>
        <v>0</v>
      </c>
      <c r="J486" s="73">
        <f t="shared" si="353"/>
        <v>110</v>
      </c>
      <c r="K486" s="55">
        <f t="shared" si="353"/>
        <v>0</v>
      </c>
      <c r="L486" s="55"/>
      <c r="M486" s="55"/>
      <c r="N486" s="55"/>
      <c r="O486" s="70">
        <f>O487</f>
        <v>1793</v>
      </c>
      <c r="P486" s="55">
        <f t="shared" ref="P486:Y487" si="354">P487</f>
        <v>0</v>
      </c>
      <c r="Q486" s="70">
        <f t="shared" si="354"/>
        <v>0</v>
      </c>
      <c r="R486" s="70">
        <f t="shared" si="354"/>
        <v>0</v>
      </c>
      <c r="S486" s="70">
        <f t="shared" si="354"/>
        <v>0</v>
      </c>
      <c r="T486" s="76">
        <f t="shared" si="354"/>
        <v>2617.6999999999998</v>
      </c>
      <c r="U486" s="55">
        <f t="shared" si="354"/>
        <v>0</v>
      </c>
      <c r="V486" s="55">
        <f t="shared" si="354"/>
        <v>0</v>
      </c>
      <c r="W486" s="55">
        <f t="shared" si="354"/>
        <v>0</v>
      </c>
      <c r="X486" s="55">
        <f t="shared" si="354"/>
        <v>0</v>
      </c>
      <c r="Y486" s="106">
        <f t="shared" si="354"/>
        <v>2747.7</v>
      </c>
      <c r="Z486" s="46"/>
      <c r="AA486" s="81"/>
    </row>
    <row r="487" spans="1:27" ht="21" customHeight="1">
      <c r="A487" s="56"/>
      <c r="B487" s="57" t="s">
        <v>457</v>
      </c>
      <c r="C487" s="58">
        <v>908</v>
      </c>
      <c r="D487" s="83" t="s">
        <v>25</v>
      </c>
      <c r="E487" s="83" t="s">
        <v>350</v>
      </c>
      <c r="F487" s="58" t="s">
        <v>458</v>
      </c>
      <c r="G487" s="59"/>
      <c r="H487" s="55">
        <f t="shared" si="353"/>
        <v>1010</v>
      </c>
      <c r="I487" s="55">
        <f t="shared" si="353"/>
        <v>0</v>
      </c>
      <c r="J487" s="73">
        <f t="shared" si="353"/>
        <v>110</v>
      </c>
      <c r="K487" s="55">
        <f t="shared" si="353"/>
        <v>0</v>
      </c>
      <c r="L487" s="55"/>
      <c r="M487" s="55"/>
      <c r="N487" s="55"/>
      <c r="O487" s="70">
        <f>O488</f>
        <v>1793</v>
      </c>
      <c r="P487" s="55">
        <f t="shared" si="354"/>
        <v>0</v>
      </c>
      <c r="Q487" s="70">
        <f t="shared" si="354"/>
        <v>0</v>
      </c>
      <c r="R487" s="70">
        <f t="shared" si="354"/>
        <v>0</v>
      </c>
      <c r="S487" s="70">
        <f t="shared" si="354"/>
        <v>0</v>
      </c>
      <c r="T487" s="76">
        <f t="shared" si="354"/>
        <v>2617.6999999999998</v>
      </c>
      <c r="U487" s="55">
        <f t="shared" si="354"/>
        <v>0</v>
      </c>
      <c r="V487" s="55">
        <f t="shared" si="354"/>
        <v>0</v>
      </c>
      <c r="W487" s="55">
        <f t="shared" si="354"/>
        <v>0</v>
      </c>
      <c r="X487" s="55">
        <f t="shared" si="354"/>
        <v>0</v>
      </c>
      <c r="Y487" s="106">
        <f t="shared" si="354"/>
        <v>2747.7</v>
      </c>
      <c r="Z487" s="46"/>
      <c r="AA487" s="81"/>
    </row>
    <row r="488" spans="1:27" ht="21.75" customHeight="1">
      <c r="A488" s="56"/>
      <c r="B488" s="57" t="s">
        <v>36</v>
      </c>
      <c r="C488" s="58">
        <v>908</v>
      </c>
      <c r="D488" s="83" t="s">
        <v>25</v>
      </c>
      <c r="E488" s="83" t="s">
        <v>350</v>
      </c>
      <c r="F488" s="58" t="s">
        <v>458</v>
      </c>
      <c r="G488" s="59">
        <v>200</v>
      </c>
      <c r="H488" s="55">
        <f>10+1000</f>
        <v>1010</v>
      </c>
      <c r="I488" s="55"/>
      <c r="J488" s="73">
        <v>110</v>
      </c>
      <c r="K488" s="70"/>
      <c r="L488" s="70"/>
      <c r="M488" s="70"/>
      <c r="N488" s="70"/>
      <c r="O488" s="70">
        <f>1510+123+60+100</f>
        <v>1793</v>
      </c>
      <c r="P488" s="55"/>
      <c r="Q488" s="65"/>
      <c r="R488" s="65"/>
      <c r="S488" s="65"/>
      <c r="T488" s="77">
        <f>1760.8+856.9</f>
        <v>2617.6999999999998</v>
      </c>
      <c r="U488" s="55"/>
      <c r="V488" s="57"/>
      <c r="W488" s="57"/>
      <c r="X488" s="57"/>
      <c r="Y488" s="106">
        <f>T488+U488+V488+W488+X488+130</f>
        <v>2747.7</v>
      </c>
      <c r="Z488" s="46"/>
      <c r="AA488" s="81"/>
    </row>
    <row r="489" spans="1:27" ht="60.75" customHeight="1">
      <c r="A489" s="56"/>
      <c r="B489" s="57" t="s">
        <v>459</v>
      </c>
      <c r="C489" s="58">
        <v>908</v>
      </c>
      <c r="D489" s="83" t="s">
        <v>25</v>
      </c>
      <c r="E489" s="83" t="s">
        <v>350</v>
      </c>
      <c r="F489" s="58" t="s">
        <v>460</v>
      </c>
      <c r="G489" s="59"/>
      <c r="H489" s="55">
        <f t="shared" ref="H489:K490" si="355">H490</f>
        <v>30</v>
      </c>
      <c r="I489" s="55">
        <f t="shared" si="355"/>
        <v>0</v>
      </c>
      <c r="J489" s="73">
        <f t="shared" si="355"/>
        <v>30</v>
      </c>
      <c r="K489" s="55">
        <f t="shared" si="355"/>
        <v>0</v>
      </c>
      <c r="L489" s="55"/>
      <c r="M489" s="55"/>
      <c r="N489" s="55"/>
      <c r="O489" s="70">
        <f>O490</f>
        <v>340</v>
      </c>
      <c r="P489" s="55">
        <f t="shared" ref="P489:Y490" si="356">P490</f>
        <v>0</v>
      </c>
      <c r="Q489" s="70">
        <f t="shared" si="356"/>
        <v>0</v>
      </c>
      <c r="R489" s="70">
        <f t="shared" si="356"/>
        <v>0</v>
      </c>
      <c r="S489" s="70">
        <f t="shared" si="356"/>
        <v>0</v>
      </c>
      <c r="T489" s="76">
        <f t="shared" si="356"/>
        <v>342</v>
      </c>
      <c r="U489" s="55">
        <f t="shared" si="356"/>
        <v>0</v>
      </c>
      <c r="V489" s="55">
        <f t="shared" si="356"/>
        <v>0</v>
      </c>
      <c r="W489" s="55">
        <f t="shared" si="356"/>
        <v>0</v>
      </c>
      <c r="X489" s="55">
        <f t="shared" si="356"/>
        <v>0</v>
      </c>
      <c r="Y489" s="106">
        <f t="shared" si="356"/>
        <v>42</v>
      </c>
      <c r="Z489" s="46"/>
      <c r="AA489" s="81"/>
    </row>
    <row r="490" spans="1:27" ht="37.5">
      <c r="A490" s="56"/>
      <c r="B490" s="57" t="s">
        <v>461</v>
      </c>
      <c r="C490" s="58">
        <v>908</v>
      </c>
      <c r="D490" s="83" t="s">
        <v>25</v>
      </c>
      <c r="E490" s="83" t="s">
        <v>350</v>
      </c>
      <c r="F490" s="58" t="s">
        <v>462</v>
      </c>
      <c r="G490" s="59"/>
      <c r="H490" s="55">
        <f t="shared" si="355"/>
        <v>30</v>
      </c>
      <c r="I490" s="55">
        <f t="shared" si="355"/>
        <v>0</v>
      </c>
      <c r="J490" s="73">
        <f t="shared" si="355"/>
        <v>30</v>
      </c>
      <c r="K490" s="55">
        <f t="shared" si="355"/>
        <v>0</v>
      </c>
      <c r="L490" s="55"/>
      <c r="M490" s="55"/>
      <c r="N490" s="55"/>
      <c r="O490" s="70">
        <f>O491</f>
        <v>340</v>
      </c>
      <c r="P490" s="55">
        <f t="shared" si="356"/>
        <v>0</v>
      </c>
      <c r="Q490" s="70">
        <f t="shared" si="356"/>
        <v>0</v>
      </c>
      <c r="R490" s="70">
        <f t="shared" si="356"/>
        <v>0</v>
      </c>
      <c r="S490" s="70">
        <f t="shared" si="356"/>
        <v>0</v>
      </c>
      <c r="T490" s="76">
        <f t="shared" si="356"/>
        <v>342</v>
      </c>
      <c r="U490" s="55">
        <f t="shared" si="356"/>
        <v>0</v>
      </c>
      <c r="V490" s="55">
        <f t="shared" si="356"/>
        <v>0</v>
      </c>
      <c r="W490" s="55">
        <f t="shared" si="356"/>
        <v>0</v>
      </c>
      <c r="X490" s="55">
        <f t="shared" si="356"/>
        <v>0</v>
      </c>
      <c r="Y490" s="106">
        <f t="shared" si="356"/>
        <v>42</v>
      </c>
      <c r="Z490" s="46"/>
      <c r="AA490" s="81"/>
    </row>
    <row r="491" spans="1:27" ht="22.5" customHeight="1">
      <c r="A491" s="56" t="s">
        <v>21</v>
      </c>
      <c r="B491" s="57" t="s">
        <v>36</v>
      </c>
      <c r="C491" s="58">
        <v>908</v>
      </c>
      <c r="D491" s="83" t="s">
        <v>25</v>
      </c>
      <c r="E491" s="83" t="s">
        <v>350</v>
      </c>
      <c r="F491" s="58" t="s">
        <v>462</v>
      </c>
      <c r="G491" s="59">
        <v>200</v>
      </c>
      <c r="H491" s="55">
        <v>30</v>
      </c>
      <c r="I491" s="55"/>
      <c r="J491" s="73">
        <v>30</v>
      </c>
      <c r="K491" s="70"/>
      <c r="L491" s="70"/>
      <c r="M491" s="70"/>
      <c r="N491" s="70"/>
      <c r="O491" s="70">
        <v>340</v>
      </c>
      <c r="P491" s="55">
        <v>0</v>
      </c>
      <c r="Q491" s="70">
        <v>0</v>
      </c>
      <c r="R491" s="65"/>
      <c r="S491" s="65"/>
      <c r="T491" s="77">
        <f>340+2</f>
        <v>342</v>
      </c>
      <c r="U491" s="55"/>
      <c r="V491" s="57"/>
      <c r="W491" s="57"/>
      <c r="X491" s="57"/>
      <c r="Y491" s="106">
        <f>342-300</f>
        <v>42</v>
      </c>
      <c r="Z491" s="46"/>
      <c r="AA491" s="81"/>
    </row>
    <row r="492" spans="1:27" ht="37.5">
      <c r="A492" s="56"/>
      <c r="B492" s="57" t="s">
        <v>463</v>
      </c>
      <c r="C492" s="58">
        <v>908</v>
      </c>
      <c r="D492" s="83" t="s">
        <v>25</v>
      </c>
      <c r="E492" s="83" t="s">
        <v>350</v>
      </c>
      <c r="F492" s="58" t="s">
        <v>464</v>
      </c>
      <c r="G492" s="59"/>
      <c r="H492" s="55">
        <f t="shared" ref="H492:K493" si="357">H493</f>
        <v>1566.4</v>
      </c>
      <c r="I492" s="55">
        <f t="shared" si="357"/>
        <v>0</v>
      </c>
      <c r="J492" s="73">
        <f t="shared" si="357"/>
        <v>2193.5</v>
      </c>
      <c r="K492" s="55">
        <f t="shared" si="357"/>
        <v>0</v>
      </c>
      <c r="L492" s="55"/>
      <c r="M492" s="55"/>
      <c r="N492" s="55"/>
      <c r="O492" s="70">
        <f>O493</f>
        <v>3225.2</v>
      </c>
      <c r="P492" s="55">
        <f t="shared" ref="P492:Y493" si="358">P493</f>
        <v>0</v>
      </c>
      <c r="Q492" s="70">
        <f t="shared" si="358"/>
        <v>0</v>
      </c>
      <c r="R492" s="70">
        <f t="shared" si="358"/>
        <v>0</v>
      </c>
      <c r="S492" s="70">
        <f t="shared" si="358"/>
        <v>0</v>
      </c>
      <c r="T492" s="76">
        <f t="shared" si="358"/>
        <v>3349.5</v>
      </c>
      <c r="U492" s="55">
        <f t="shared" si="358"/>
        <v>0</v>
      </c>
      <c r="V492" s="55">
        <f t="shared" si="358"/>
        <v>0</v>
      </c>
      <c r="W492" s="55">
        <f t="shared" si="358"/>
        <v>0</v>
      </c>
      <c r="X492" s="55">
        <f t="shared" si="358"/>
        <v>0</v>
      </c>
      <c r="Y492" s="106">
        <f t="shared" si="358"/>
        <v>3568.9479999999999</v>
      </c>
      <c r="Z492" s="46"/>
      <c r="AA492" s="81"/>
    </row>
    <row r="493" spans="1:27" ht="24" customHeight="1">
      <c r="A493" s="56" t="s">
        <v>21</v>
      </c>
      <c r="B493" s="57" t="s">
        <v>465</v>
      </c>
      <c r="C493" s="58">
        <v>908</v>
      </c>
      <c r="D493" s="58" t="s">
        <v>25</v>
      </c>
      <c r="E493" s="58">
        <v>10</v>
      </c>
      <c r="F493" s="58" t="s">
        <v>466</v>
      </c>
      <c r="G493" s="59" t="s">
        <v>21</v>
      </c>
      <c r="H493" s="55">
        <f t="shared" si="357"/>
        <v>1566.4</v>
      </c>
      <c r="I493" s="55">
        <f t="shared" si="357"/>
        <v>0</v>
      </c>
      <c r="J493" s="73">
        <f t="shared" si="357"/>
        <v>2193.5</v>
      </c>
      <c r="K493" s="55">
        <f t="shared" si="357"/>
        <v>0</v>
      </c>
      <c r="L493" s="55"/>
      <c r="M493" s="55"/>
      <c r="N493" s="55"/>
      <c r="O493" s="70">
        <f>O494</f>
        <v>3225.2</v>
      </c>
      <c r="P493" s="55">
        <f t="shared" si="358"/>
        <v>0</v>
      </c>
      <c r="Q493" s="70">
        <f t="shared" si="358"/>
        <v>0</v>
      </c>
      <c r="R493" s="70">
        <f t="shared" si="358"/>
        <v>0</v>
      </c>
      <c r="S493" s="70">
        <f t="shared" si="358"/>
        <v>0</v>
      </c>
      <c r="T493" s="76">
        <f t="shared" si="358"/>
        <v>3349.5</v>
      </c>
      <c r="U493" s="55">
        <f t="shared" si="358"/>
        <v>0</v>
      </c>
      <c r="V493" s="55">
        <f t="shared" si="358"/>
        <v>0</v>
      </c>
      <c r="W493" s="55">
        <f t="shared" si="358"/>
        <v>0</v>
      </c>
      <c r="X493" s="55">
        <f t="shared" si="358"/>
        <v>0</v>
      </c>
      <c r="Y493" s="106">
        <f t="shared" si="358"/>
        <v>3568.9479999999999</v>
      </c>
      <c r="Z493" s="46"/>
      <c r="AA493" s="81"/>
    </row>
    <row r="494" spans="1:27" ht="37.5">
      <c r="A494" s="56" t="s">
        <v>21</v>
      </c>
      <c r="B494" s="57" t="s">
        <v>438</v>
      </c>
      <c r="C494" s="58">
        <v>908</v>
      </c>
      <c r="D494" s="58" t="s">
        <v>25</v>
      </c>
      <c r="E494" s="58">
        <v>10</v>
      </c>
      <c r="F494" s="58" t="s">
        <v>467</v>
      </c>
      <c r="G494" s="59"/>
      <c r="H494" s="55">
        <f>H495+H496+H497</f>
        <v>1566.4</v>
      </c>
      <c r="I494" s="55">
        <f>I495+I496+I497</f>
        <v>0</v>
      </c>
      <c r="J494" s="73">
        <f>J495+J496+J497</f>
        <v>2193.5</v>
      </c>
      <c r="K494" s="55">
        <f>K495+K496+K497</f>
        <v>0</v>
      </c>
      <c r="L494" s="55"/>
      <c r="M494" s="55"/>
      <c r="N494" s="55"/>
      <c r="O494" s="70">
        <f t="shared" ref="O494:T494" si="359">O495+O496+O497</f>
        <v>3225.2</v>
      </c>
      <c r="P494" s="55">
        <f t="shared" si="359"/>
        <v>0</v>
      </c>
      <c r="Q494" s="70">
        <f t="shared" si="359"/>
        <v>0</v>
      </c>
      <c r="R494" s="70">
        <f t="shared" si="359"/>
        <v>0</v>
      </c>
      <c r="S494" s="70">
        <f t="shared" si="359"/>
        <v>0</v>
      </c>
      <c r="T494" s="76">
        <f t="shared" si="359"/>
        <v>3349.5</v>
      </c>
      <c r="U494" s="55">
        <f t="shared" ref="U494:Y494" si="360">U495+U496+U497</f>
        <v>0</v>
      </c>
      <c r="V494" s="55">
        <f t="shared" si="360"/>
        <v>0</v>
      </c>
      <c r="W494" s="55">
        <f t="shared" si="360"/>
        <v>0</v>
      </c>
      <c r="X494" s="55">
        <f t="shared" si="360"/>
        <v>0</v>
      </c>
      <c r="Y494" s="106">
        <f t="shared" si="360"/>
        <v>3568.9479999999999</v>
      </c>
      <c r="Z494" s="46"/>
      <c r="AA494" s="81"/>
    </row>
    <row r="495" spans="1:27" ht="62.25" customHeight="1">
      <c r="A495" s="56"/>
      <c r="B495" s="57" t="s">
        <v>32</v>
      </c>
      <c r="C495" s="58">
        <v>908</v>
      </c>
      <c r="D495" s="58" t="s">
        <v>25</v>
      </c>
      <c r="E495" s="58">
        <v>10</v>
      </c>
      <c r="F495" s="58" t="s">
        <v>467</v>
      </c>
      <c r="G495" s="59" t="s">
        <v>33</v>
      </c>
      <c r="H495" s="55">
        <v>1473.3</v>
      </c>
      <c r="I495" s="55"/>
      <c r="J495" s="73">
        <f>1505.4+454.6</f>
        <v>1960</v>
      </c>
      <c r="K495" s="70"/>
      <c r="L495" s="70"/>
      <c r="M495" s="70"/>
      <c r="N495" s="70"/>
      <c r="O495" s="70">
        <v>2862.2</v>
      </c>
      <c r="P495" s="55"/>
      <c r="Q495" s="65"/>
      <c r="R495" s="65"/>
      <c r="S495" s="65"/>
      <c r="T495" s="77">
        <v>3021.5</v>
      </c>
      <c r="U495" s="57"/>
      <c r="V495" s="57"/>
      <c r="W495" s="57"/>
      <c r="X495" s="57"/>
      <c r="Y495" s="106">
        <v>3240.9479999999999</v>
      </c>
      <c r="Z495" s="46"/>
      <c r="AA495" s="81"/>
    </row>
    <row r="496" spans="1:27" ht="22.5" customHeight="1">
      <c r="A496" s="56"/>
      <c r="B496" s="57" t="s">
        <v>36</v>
      </c>
      <c r="C496" s="58">
        <v>908</v>
      </c>
      <c r="D496" s="58" t="s">
        <v>25</v>
      </c>
      <c r="E496" s="58">
        <v>10</v>
      </c>
      <c r="F496" s="58" t="s">
        <v>467</v>
      </c>
      <c r="G496" s="59" t="s">
        <v>37</v>
      </c>
      <c r="H496" s="55">
        <v>92.7</v>
      </c>
      <c r="I496" s="55"/>
      <c r="J496" s="73">
        <f>32.8+4.9+13.6+79+94.7+8</f>
        <v>233</v>
      </c>
      <c r="K496" s="70"/>
      <c r="L496" s="70"/>
      <c r="M496" s="70"/>
      <c r="N496" s="70"/>
      <c r="O496" s="70">
        <v>362.5</v>
      </c>
      <c r="P496" s="55">
        <v>0</v>
      </c>
      <c r="Q496" s="70">
        <v>0</v>
      </c>
      <c r="R496" s="65"/>
      <c r="S496" s="65"/>
      <c r="T496" s="77">
        <v>327.5</v>
      </c>
      <c r="U496" s="57"/>
      <c r="V496" s="57"/>
      <c r="W496" s="57"/>
      <c r="X496" s="57"/>
      <c r="Y496" s="106">
        <v>328</v>
      </c>
      <c r="Z496" s="46"/>
      <c r="AA496" s="81"/>
    </row>
    <row r="497" spans="1:27" hidden="1">
      <c r="A497" s="56"/>
      <c r="B497" s="57" t="s">
        <v>38</v>
      </c>
      <c r="C497" s="58">
        <v>908</v>
      </c>
      <c r="D497" s="58" t="s">
        <v>25</v>
      </c>
      <c r="E497" s="58">
        <v>10</v>
      </c>
      <c r="F497" s="58" t="s">
        <v>467</v>
      </c>
      <c r="G497" s="59">
        <v>800</v>
      </c>
      <c r="H497" s="55">
        <v>0.4</v>
      </c>
      <c r="I497" s="55"/>
      <c r="J497" s="73">
        <v>0.5</v>
      </c>
      <c r="K497" s="70"/>
      <c r="L497" s="70"/>
      <c r="M497" s="70"/>
      <c r="N497" s="70"/>
      <c r="O497" s="70">
        <v>0.5</v>
      </c>
      <c r="P497" s="55"/>
      <c r="Q497" s="65"/>
      <c r="R497" s="65"/>
      <c r="S497" s="65"/>
      <c r="T497" s="77">
        <v>0.5</v>
      </c>
      <c r="U497" s="57"/>
      <c r="V497" s="57"/>
      <c r="W497" s="57"/>
      <c r="X497" s="57"/>
      <c r="Y497" s="106">
        <v>0</v>
      </c>
      <c r="Z497" s="46"/>
      <c r="AA497" s="81"/>
    </row>
    <row r="498" spans="1:27">
      <c r="A498" s="56"/>
      <c r="B498" s="57" t="s">
        <v>468</v>
      </c>
      <c r="C498" s="58">
        <v>908</v>
      </c>
      <c r="D498" s="83" t="s">
        <v>140</v>
      </c>
      <c r="E498" s="83"/>
      <c r="F498" s="58"/>
      <c r="G498" s="59"/>
      <c r="H498" s="55">
        <f>H499+H515+H533+H520</f>
        <v>2696.9</v>
      </c>
      <c r="I498" s="55">
        <f>I499+I515+I533+I520</f>
        <v>35602.1</v>
      </c>
      <c r="J498" s="73">
        <f>J499+J515+J533+J520</f>
        <v>5100.6000000000004</v>
      </c>
      <c r="K498" s="55">
        <f>K499+K515+K533+K520</f>
        <v>210.8</v>
      </c>
      <c r="L498" s="55"/>
      <c r="M498" s="55"/>
      <c r="N498" s="55"/>
      <c r="O498" s="70">
        <f t="shared" ref="O498:T498" si="361">O499+O513+O520+O533</f>
        <v>14012</v>
      </c>
      <c r="P498" s="55">
        <f t="shared" si="361"/>
        <v>31542.5</v>
      </c>
      <c r="Q498" s="70">
        <f t="shared" si="361"/>
        <v>0</v>
      </c>
      <c r="R498" s="70">
        <f t="shared" si="361"/>
        <v>0</v>
      </c>
      <c r="S498" s="70">
        <f t="shared" si="361"/>
        <v>0</v>
      </c>
      <c r="T498" s="76">
        <f t="shared" si="361"/>
        <v>5046.8999999999996</v>
      </c>
      <c r="U498" s="55">
        <f t="shared" ref="U498:Y498" si="362">U499+U513+U520+U533</f>
        <v>0</v>
      </c>
      <c r="V498" s="55">
        <f t="shared" si="362"/>
        <v>0</v>
      </c>
      <c r="W498" s="55">
        <f t="shared" si="362"/>
        <v>0</v>
      </c>
      <c r="X498" s="55">
        <f t="shared" si="362"/>
        <v>1617.4</v>
      </c>
      <c r="Y498" s="106">
        <f t="shared" si="362"/>
        <v>6401.9445099999994</v>
      </c>
      <c r="Z498" s="46"/>
      <c r="AA498" s="81"/>
    </row>
    <row r="499" spans="1:27">
      <c r="A499" s="56"/>
      <c r="B499" s="57" t="s">
        <v>469</v>
      </c>
      <c r="C499" s="58">
        <v>908</v>
      </c>
      <c r="D499" s="83" t="s">
        <v>140</v>
      </c>
      <c r="E499" s="83" t="s">
        <v>470</v>
      </c>
      <c r="F499" s="58"/>
      <c r="G499" s="59"/>
      <c r="H499" s="55">
        <f t="shared" ref="H499:K501" si="363">H500</f>
        <v>150</v>
      </c>
      <c r="I499" s="55">
        <f>I500+I509</f>
        <v>142.6</v>
      </c>
      <c r="J499" s="73">
        <f>J500+J509</f>
        <v>150</v>
      </c>
      <c r="K499" s="55">
        <f>K500+K509</f>
        <v>210.8</v>
      </c>
      <c r="L499" s="55"/>
      <c r="M499" s="55"/>
      <c r="N499" s="55"/>
      <c r="O499" s="70">
        <f t="shared" ref="O499:T499" si="364">O500+O509</f>
        <v>200</v>
      </c>
      <c r="P499" s="55">
        <f t="shared" si="364"/>
        <v>599</v>
      </c>
      <c r="Q499" s="70">
        <f t="shared" si="364"/>
        <v>0</v>
      </c>
      <c r="R499" s="70">
        <f t="shared" si="364"/>
        <v>0</v>
      </c>
      <c r="S499" s="70">
        <f t="shared" si="364"/>
        <v>0</v>
      </c>
      <c r="T499" s="76">
        <f t="shared" si="364"/>
        <v>400</v>
      </c>
      <c r="U499" s="55">
        <f t="shared" ref="U499:Y499" si="365">U500+U509</f>
        <v>0</v>
      </c>
      <c r="V499" s="55">
        <f t="shared" si="365"/>
        <v>0</v>
      </c>
      <c r="W499" s="55">
        <f t="shared" si="365"/>
        <v>0</v>
      </c>
      <c r="X499" s="55">
        <f t="shared" si="365"/>
        <v>1617.4</v>
      </c>
      <c r="Y499" s="106">
        <f t="shared" si="365"/>
        <v>1920.1092600000002</v>
      </c>
      <c r="Z499" s="46"/>
      <c r="AA499" s="81"/>
    </row>
    <row r="500" spans="1:27" ht="42" customHeight="1">
      <c r="A500" s="56"/>
      <c r="B500" s="57" t="s">
        <v>399</v>
      </c>
      <c r="C500" s="58">
        <v>908</v>
      </c>
      <c r="D500" s="83" t="s">
        <v>140</v>
      </c>
      <c r="E500" s="83" t="s">
        <v>470</v>
      </c>
      <c r="F500" s="58" t="s">
        <v>400</v>
      </c>
      <c r="G500" s="59"/>
      <c r="H500" s="55">
        <f t="shared" si="363"/>
        <v>150</v>
      </c>
      <c r="I500" s="55">
        <f t="shared" si="363"/>
        <v>0</v>
      </c>
      <c r="J500" s="73">
        <f>J501+J506</f>
        <v>150</v>
      </c>
      <c r="K500" s="55">
        <f t="shared" si="363"/>
        <v>0</v>
      </c>
      <c r="L500" s="55"/>
      <c r="M500" s="55"/>
      <c r="N500" s="55"/>
      <c r="O500" s="70">
        <f t="shared" ref="O500:Y500" si="366">O501</f>
        <v>200</v>
      </c>
      <c r="P500" s="55">
        <f t="shared" si="366"/>
        <v>0</v>
      </c>
      <c r="Q500" s="70">
        <f t="shared" si="366"/>
        <v>0</v>
      </c>
      <c r="R500" s="70">
        <f t="shared" si="366"/>
        <v>0</v>
      </c>
      <c r="S500" s="70">
        <f t="shared" si="366"/>
        <v>0</v>
      </c>
      <c r="T500" s="76">
        <f t="shared" si="366"/>
        <v>400</v>
      </c>
      <c r="U500" s="55">
        <f t="shared" si="366"/>
        <v>0</v>
      </c>
      <c r="V500" s="55">
        <f t="shared" si="366"/>
        <v>0</v>
      </c>
      <c r="W500" s="55">
        <f t="shared" si="366"/>
        <v>0</v>
      </c>
      <c r="X500" s="55">
        <f t="shared" si="366"/>
        <v>0</v>
      </c>
      <c r="Y500" s="106">
        <f t="shared" si="366"/>
        <v>302.70925999999997</v>
      </c>
      <c r="Z500" s="46"/>
      <c r="AA500" s="81"/>
    </row>
    <row r="501" spans="1:27">
      <c r="A501" s="56"/>
      <c r="B501" s="57" t="s">
        <v>471</v>
      </c>
      <c r="C501" s="58">
        <v>908</v>
      </c>
      <c r="D501" s="83" t="s">
        <v>140</v>
      </c>
      <c r="E501" s="83" t="s">
        <v>470</v>
      </c>
      <c r="F501" s="58" t="s">
        <v>472</v>
      </c>
      <c r="G501" s="59"/>
      <c r="H501" s="55">
        <f t="shared" si="363"/>
        <v>150</v>
      </c>
      <c r="I501" s="55">
        <f t="shared" si="363"/>
        <v>0</v>
      </c>
      <c r="J501" s="73">
        <f t="shared" si="363"/>
        <v>150</v>
      </c>
      <c r="K501" s="55">
        <f>K502+K506</f>
        <v>0</v>
      </c>
      <c r="L501" s="55"/>
      <c r="M501" s="55"/>
      <c r="N501" s="55"/>
      <c r="O501" s="70">
        <f t="shared" ref="O501:T501" si="367">O502+O506</f>
        <v>200</v>
      </c>
      <c r="P501" s="55">
        <f t="shared" si="367"/>
        <v>0</v>
      </c>
      <c r="Q501" s="70">
        <f t="shared" si="367"/>
        <v>0</v>
      </c>
      <c r="R501" s="70">
        <f t="shared" si="367"/>
        <v>0</v>
      </c>
      <c r="S501" s="70">
        <f t="shared" si="367"/>
        <v>0</v>
      </c>
      <c r="T501" s="76">
        <f t="shared" si="367"/>
        <v>400</v>
      </c>
      <c r="U501" s="55">
        <f t="shared" ref="U501:Y501" si="368">U502+U506</f>
        <v>0</v>
      </c>
      <c r="V501" s="55">
        <f t="shared" si="368"/>
        <v>0</v>
      </c>
      <c r="W501" s="55">
        <f t="shared" si="368"/>
        <v>0</v>
      </c>
      <c r="X501" s="55">
        <f t="shared" si="368"/>
        <v>0</v>
      </c>
      <c r="Y501" s="106">
        <f t="shared" si="368"/>
        <v>302.70925999999997</v>
      </c>
      <c r="Z501" s="46"/>
      <c r="AA501" s="81"/>
    </row>
    <row r="502" spans="1:27" ht="37.5">
      <c r="A502" s="56"/>
      <c r="B502" s="57" t="s">
        <v>473</v>
      </c>
      <c r="C502" s="58">
        <v>908</v>
      </c>
      <c r="D502" s="83" t="s">
        <v>140</v>
      </c>
      <c r="E502" s="83" t="s">
        <v>470</v>
      </c>
      <c r="F502" s="58" t="s">
        <v>474</v>
      </c>
      <c r="G502" s="59"/>
      <c r="H502" s="55">
        <f>H504</f>
        <v>150</v>
      </c>
      <c r="I502" s="55">
        <f>I504</f>
        <v>0</v>
      </c>
      <c r="J502" s="73">
        <f>J504+J503+J505</f>
        <v>150</v>
      </c>
      <c r="K502" s="55">
        <f>K504+K503+K505</f>
        <v>0</v>
      </c>
      <c r="L502" s="55"/>
      <c r="M502" s="55"/>
      <c r="N502" s="55"/>
      <c r="O502" s="70">
        <f t="shared" ref="O502:T502" si="369">O503+O504+O505</f>
        <v>200</v>
      </c>
      <c r="P502" s="55">
        <f t="shared" si="369"/>
        <v>0</v>
      </c>
      <c r="Q502" s="70">
        <f t="shared" si="369"/>
        <v>0</v>
      </c>
      <c r="R502" s="70">
        <f t="shared" si="369"/>
        <v>0</v>
      </c>
      <c r="S502" s="70">
        <f t="shared" si="369"/>
        <v>0</v>
      </c>
      <c r="T502" s="76">
        <f t="shared" si="369"/>
        <v>200</v>
      </c>
      <c r="U502" s="55">
        <f t="shared" ref="U502:Y502" si="370">U503+U504+U505</f>
        <v>0</v>
      </c>
      <c r="V502" s="55">
        <f t="shared" si="370"/>
        <v>0</v>
      </c>
      <c r="W502" s="55">
        <f t="shared" si="370"/>
        <v>0</v>
      </c>
      <c r="X502" s="55">
        <f t="shared" si="370"/>
        <v>0</v>
      </c>
      <c r="Y502" s="106">
        <f t="shared" si="370"/>
        <v>200</v>
      </c>
      <c r="Z502" s="46"/>
      <c r="AA502" s="81"/>
    </row>
    <row r="503" spans="1:27" ht="22.5" customHeight="1">
      <c r="A503" s="56"/>
      <c r="B503" s="57" t="s">
        <v>36</v>
      </c>
      <c r="C503" s="58">
        <v>908</v>
      </c>
      <c r="D503" s="83" t="s">
        <v>140</v>
      </c>
      <c r="E503" s="83" t="s">
        <v>470</v>
      </c>
      <c r="F503" s="58" t="s">
        <v>474</v>
      </c>
      <c r="G503" s="59">
        <v>200</v>
      </c>
      <c r="H503" s="55"/>
      <c r="I503" s="55"/>
      <c r="J503" s="73">
        <v>50</v>
      </c>
      <c r="K503" s="70"/>
      <c r="L503" s="70"/>
      <c r="M503" s="70"/>
      <c r="N503" s="70"/>
      <c r="O503" s="70">
        <v>100</v>
      </c>
      <c r="P503" s="55">
        <v>0</v>
      </c>
      <c r="Q503" s="65"/>
      <c r="R503" s="65"/>
      <c r="S503" s="65"/>
      <c r="T503" s="77">
        <v>200</v>
      </c>
      <c r="U503" s="57"/>
      <c r="V503" s="57"/>
      <c r="W503" s="57"/>
      <c r="X503" s="57"/>
      <c r="Y503" s="106">
        <v>100</v>
      </c>
      <c r="Z503" s="46"/>
      <c r="AA503" s="81"/>
    </row>
    <row r="504" spans="1:27">
      <c r="A504" s="56"/>
      <c r="B504" s="57" t="s">
        <v>45</v>
      </c>
      <c r="C504" s="58">
        <v>908</v>
      </c>
      <c r="D504" s="83" t="s">
        <v>140</v>
      </c>
      <c r="E504" s="83" t="s">
        <v>470</v>
      </c>
      <c r="F504" s="58" t="s">
        <v>474</v>
      </c>
      <c r="G504" s="59">
        <v>300</v>
      </c>
      <c r="H504" s="55">
        <v>150</v>
      </c>
      <c r="I504" s="55"/>
      <c r="J504" s="73">
        <v>5</v>
      </c>
      <c r="K504" s="70"/>
      <c r="L504" s="70"/>
      <c r="M504" s="70"/>
      <c r="N504" s="70"/>
      <c r="O504" s="70">
        <v>5</v>
      </c>
      <c r="P504" s="55"/>
      <c r="Q504" s="65"/>
      <c r="R504" s="65"/>
      <c r="S504" s="65"/>
      <c r="T504" s="77">
        <v>0</v>
      </c>
      <c r="U504" s="57"/>
      <c r="V504" s="57"/>
      <c r="W504" s="57"/>
      <c r="X504" s="57"/>
      <c r="Y504" s="106">
        <v>5</v>
      </c>
      <c r="Z504" s="46"/>
      <c r="AA504" s="81"/>
    </row>
    <row r="505" spans="1:27" ht="18" customHeight="1">
      <c r="A505" s="56"/>
      <c r="B505" s="57" t="s">
        <v>38</v>
      </c>
      <c r="C505" s="58">
        <v>908</v>
      </c>
      <c r="D505" s="83" t="s">
        <v>140</v>
      </c>
      <c r="E505" s="83" t="s">
        <v>470</v>
      </c>
      <c r="F505" s="58" t="s">
        <v>474</v>
      </c>
      <c r="G505" s="59">
        <v>800</v>
      </c>
      <c r="H505" s="55"/>
      <c r="I505" s="55"/>
      <c r="J505" s="73">
        <v>95</v>
      </c>
      <c r="K505" s="70"/>
      <c r="L505" s="70"/>
      <c r="M505" s="70"/>
      <c r="N505" s="70"/>
      <c r="O505" s="70">
        <v>95</v>
      </c>
      <c r="P505" s="55"/>
      <c r="Q505" s="65"/>
      <c r="R505" s="65"/>
      <c r="S505" s="65"/>
      <c r="T505" s="77">
        <v>0</v>
      </c>
      <c r="U505" s="57"/>
      <c r="V505" s="57"/>
      <c r="W505" s="57"/>
      <c r="X505" s="57"/>
      <c r="Y505" s="106">
        <v>95</v>
      </c>
      <c r="Z505" s="46"/>
      <c r="AA505" s="81"/>
    </row>
    <row r="506" spans="1:27">
      <c r="A506" s="56"/>
      <c r="B506" s="57" t="s">
        <v>475</v>
      </c>
      <c r="C506" s="58">
        <v>908</v>
      </c>
      <c r="D506" s="83" t="s">
        <v>140</v>
      </c>
      <c r="E506" s="83" t="s">
        <v>470</v>
      </c>
      <c r="F506" s="58" t="s">
        <v>476</v>
      </c>
      <c r="G506" s="59"/>
      <c r="H506" s="55"/>
      <c r="I506" s="55"/>
      <c r="J506" s="73">
        <f>J507</f>
        <v>0</v>
      </c>
      <c r="K506" s="70">
        <f>K507</f>
        <v>0</v>
      </c>
      <c r="L506" s="70"/>
      <c r="M506" s="70"/>
      <c r="N506" s="70"/>
      <c r="O506" s="70">
        <f t="shared" ref="O506:T507" si="371">O507</f>
        <v>0</v>
      </c>
      <c r="P506" s="55">
        <f t="shared" si="371"/>
        <v>0</v>
      </c>
      <c r="Q506" s="70">
        <f t="shared" si="371"/>
        <v>0</v>
      </c>
      <c r="R506" s="70">
        <f t="shared" si="371"/>
        <v>0</v>
      </c>
      <c r="S506" s="70">
        <f t="shared" si="371"/>
        <v>0</v>
      </c>
      <c r="T506" s="76">
        <f>T507</f>
        <v>200</v>
      </c>
      <c r="U506" s="57"/>
      <c r="V506" s="57"/>
      <c r="W506" s="57"/>
      <c r="X506" s="57"/>
      <c r="Y506" s="106">
        <f>Y507</f>
        <v>102.70926</v>
      </c>
      <c r="Z506" s="46"/>
      <c r="AA506" s="81"/>
    </row>
    <row r="507" spans="1:27" ht="37.5">
      <c r="A507" s="56"/>
      <c r="B507" s="57" t="s">
        <v>477</v>
      </c>
      <c r="C507" s="58">
        <v>908</v>
      </c>
      <c r="D507" s="83" t="s">
        <v>140</v>
      </c>
      <c r="E507" s="83" t="s">
        <v>470</v>
      </c>
      <c r="F507" s="58" t="s">
        <v>478</v>
      </c>
      <c r="G507" s="59"/>
      <c r="H507" s="55"/>
      <c r="I507" s="55"/>
      <c r="J507" s="73">
        <f>J508</f>
        <v>0</v>
      </c>
      <c r="K507" s="70">
        <f>K508</f>
        <v>0</v>
      </c>
      <c r="L507" s="70"/>
      <c r="M507" s="70"/>
      <c r="N507" s="70"/>
      <c r="O507" s="70">
        <f t="shared" si="371"/>
        <v>0</v>
      </c>
      <c r="P507" s="55">
        <f t="shared" si="371"/>
        <v>0</v>
      </c>
      <c r="Q507" s="70">
        <f t="shared" si="371"/>
        <v>0</v>
      </c>
      <c r="R507" s="70">
        <f t="shared" si="371"/>
        <v>0</v>
      </c>
      <c r="S507" s="70">
        <f t="shared" si="371"/>
        <v>0</v>
      </c>
      <c r="T507" s="76">
        <f t="shared" si="371"/>
        <v>200</v>
      </c>
      <c r="U507" s="57"/>
      <c r="V507" s="57"/>
      <c r="W507" s="57"/>
      <c r="X507" s="57"/>
      <c r="Y507" s="106">
        <f>Y508</f>
        <v>102.70926</v>
      </c>
      <c r="Z507" s="46"/>
      <c r="AA507" s="81"/>
    </row>
    <row r="508" spans="1:27" ht="21.75" customHeight="1">
      <c r="A508" s="56"/>
      <c r="B508" s="57" t="s">
        <v>36</v>
      </c>
      <c r="C508" s="58">
        <v>908</v>
      </c>
      <c r="D508" s="83" t="s">
        <v>140</v>
      </c>
      <c r="E508" s="83" t="s">
        <v>470</v>
      </c>
      <c r="F508" s="58" t="s">
        <v>478</v>
      </c>
      <c r="G508" s="59">
        <v>200</v>
      </c>
      <c r="H508" s="55"/>
      <c r="I508" s="55"/>
      <c r="J508" s="73">
        <v>0</v>
      </c>
      <c r="K508" s="70">
        <v>0</v>
      </c>
      <c r="L508" s="70"/>
      <c r="M508" s="70"/>
      <c r="N508" s="70"/>
      <c r="O508" s="70">
        <f>J508+K508+M508+N508+L508</f>
        <v>0</v>
      </c>
      <c r="P508" s="55"/>
      <c r="Q508" s="65"/>
      <c r="R508" s="65"/>
      <c r="S508" s="65"/>
      <c r="T508" s="77">
        <v>200</v>
      </c>
      <c r="U508" s="57"/>
      <c r="V508" s="57"/>
      <c r="W508" s="57"/>
      <c r="X508" s="57"/>
      <c r="Y508" s="106">
        <v>102.70926</v>
      </c>
      <c r="Z508" s="46"/>
      <c r="AA508" s="81"/>
    </row>
    <row r="509" spans="1:27">
      <c r="A509" s="56"/>
      <c r="B509" s="57" t="s">
        <v>26</v>
      </c>
      <c r="C509" s="58">
        <v>908</v>
      </c>
      <c r="D509" s="83" t="s">
        <v>140</v>
      </c>
      <c r="E509" s="83" t="s">
        <v>470</v>
      </c>
      <c r="F509" s="58" t="s">
        <v>27</v>
      </c>
      <c r="G509" s="59"/>
      <c r="H509" s="55"/>
      <c r="I509" s="55">
        <f>I510</f>
        <v>142.6</v>
      </c>
      <c r="J509" s="73">
        <f>J510</f>
        <v>0</v>
      </c>
      <c r="K509" s="55">
        <f>K510</f>
        <v>210.8</v>
      </c>
      <c r="L509" s="55"/>
      <c r="M509" s="55"/>
      <c r="N509" s="55"/>
      <c r="O509" s="70">
        <f>O510</f>
        <v>0</v>
      </c>
      <c r="P509" s="55">
        <f t="shared" ref="P509:Y510" si="372">P510</f>
        <v>599</v>
      </c>
      <c r="Q509" s="70">
        <f t="shared" si="372"/>
        <v>0</v>
      </c>
      <c r="R509" s="70">
        <f t="shared" si="372"/>
        <v>0</v>
      </c>
      <c r="S509" s="70">
        <f t="shared" si="372"/>
        <v>0</v>
      </c>
      <c r="T509" s="76">
        <f t="shared" si="372"/>
        <v>0</v>
      </c>
      <c r="U509" s="55">
        <f t="shared" si="372"/>
        <v>0</v>
      </c>
      <c r="V509" s="55">
        <f t="shared" si="372"/>
        <v>0</v>
      </c>
      <c r="W509" s="55">
        <f t="shared" si="372"/>
        <v>0</v>
      </c>
      <c r="X509" s="55">
        <f t="shared" si="372"/>
        <v>1617.4</v>
      </c>
      <c r="Y509" s="106">
        <f t="shared" si="372"/>
        <v>1617.4</v>
      </c>
      <c r="Z509" s="46"/>
      <c r="AA509" s="81"/>
    </row>
    <row r="510" spans="1:27" ht="37.5">
      <c r="A510" s="56"/>
      <c r="B510" s="57" t="s">
        <v>479</v>
      </c>
      <c r="C510" s="58">
        <v>908</v>
      </c>
      <c r="D510" s="83" t="s">
        <v>140</v>
      </c>
      <c r="E510" s="83" t="s">
        <v>470</v>
      </c>
      <c r="F510" s="58" t="s">
        <v>480</v>
      </c>
      <c r="G510" s="59"/>
      <c r="H510" s="55"/>
      <c r="I510" s="55">
        <f>I512</f>
        <v>142.6</v>
      </c>
      <c r="J510" s="73">
        <f>J512+J511</f>
        <v>0</v>
      </c>
      <c r="K510" s="55">
        <f>K512+K511</f>
        <v>210.8</v>
      </c>
      <c r="L510" s="55"/>
      <c r="M510" s="55"/>
      <c r="N510" s="55"/>
      <c r="O510" s="70">
        <f>O511</f>
        <v>0</v>
      </c>
      <c r="P510" s="55">
        <f t="shared" si="372"/>
        <v>599</v>
      </c>
      <c r="Q510" s="70">
        <f t="shared" si="372"/>
        <v>0</v>
      </c>
      <c r="R510" s="70">
        <f t="shared" si="372"/>
        <v>0</v>
      </c>
      <c r="S510" s="70">
        <f t="shared" si="372"/>
        <v>0</v>
      </c>
      <c r="T510" s="76">
        <f t="shared" si="372"/>
        <v>0</v>
      </c>
      <c r="U510" s="55">
        <f t="shared" si="372"/>
        <v>0</v>
      </c>
      <c r="V510" s="55">
        <f t="shared" si="372"/>
        <v>0</v>
      </c>
      <c r="W510" s="55">
        <f t="shared" si="372"/>
        <v>0</v>
      </c>
      <c r="X510" s="55">
        <f t="shared" si="372"/>
        <v>1617.4</v>
      </c>
      <c r="Y510" s="106">
        <f t="shared" si="372"/>
        <v>1617.4</v>
      </c>
      <c r="Z510" s="46"/>
      <c r="AA510" s="81"/>
    </row>
    <row r="511" spans="1:27" ht="24" customHeight="1">
      <c r="A511" s="56"/>
      <c r="B511" s="57" t="s">
        <v>36</v>
      </c>
      <c r="C511" s="58">
        <v>908</v>
      </c>
      <c r="D511" s="83" t="s">
        <v>140</v>
      </c>
      <c r="E511" s="83" t="s">
        <v>470</v>
      </c>
      <c r="F511" s="58" t="s">
        <v>480</v>
      </c>
      <c r="G511" s="59">
        <v>200</v>
      </c>
      <c r="H511" s="55"/>
      <c r="I511" s="55"/>
      <c r="J511" s="73">
        <v>0</v>
      </c>
      <c r="K511" s="55">
        <v>210.8</v>
      </c>
      <c r="L511" s="55"/>
      <c r="M511" s="55"/>
      <c r="N511" s="55"/>
      <c r="O511" s="70"/>
      <c r="P511" s="55">
        <v>599</v>
      </c>
      <c r="Q511" s="65"/>
      <c r="R511" s="65"/>
      <c r="S511" s="65"/>
      <c r="T511" s="77"/>
      <c r="U511" s="57"/>
      <c r="V511" s="57"/>
      <c r="W511" s="57"/>
      <c r="X511" s="55">
        <v>1617.4</v>
      </c>
      <c r="Y511" s="106">
        <f>T511+U511+V511+W511+X511</f>
        <v>1617.4</v>
      </c>
      <c r="Z511" s="46"/>
      <c r="AA511" s="81"/>
    </row>
    <row r="512" spans="1:27">
      <c r="A512" s="56"/>
      <c r="B512" s="57" t="s">
        <v>431</v>
      </c>
      <c r="C512" s="58">
        <v>908</v>
      </c>
      <c r="D512" s="83" t="s">
        <v>140</v>
      </c>
      <c r="E512" s="83" t="s">
        <v>470</v>
      </c>
      <c r="F512" s="58" t="s">
        <v>481</v>
      </c>
      <c r="G512" s="59">
        <v>500</v>
      </c>
      <c r="H512" s="55"/>
      <c r="I512" s="55">
        <v>142.6</v>
      </c>
      <c r="J512" s="73"/>
      <c r="K512" s="70"/>
      <c r="L512" s="70"/>
      <c r="M512" s="70"/>
      <c r="N512" s="70"/>
      <c r="O512" s="70">
        <f>J512+K512+M512+N512</f>
        <v>0</v>
      </c>
      <c r="P512" s="55"/>
      <c r="Q512" s="65"/>
      <c r="R512" s="65"/>
      <c r="S512" s="65"/>
      <c r="T512" s="77">
        <f>O512+P512+Q512+R512+S512</f>
        <v>0</v>
      </c>
      <c r="U512" s="57"/>
      <c r="V512" s="57"/>
      <c r="W512" s="57"/>
      <c r="X512" s="57"/>
      <c r="Y512" s="106"/>
      <c r="Z512" s="46"/>
      <c r="AA512" s="81"/>
    </row>
    <row r="513" spans="1:27">
      <c r="A513" s="56"/>
      <c r="B513" s="57" t="s">
        <v>482</v>
      </c>
      <c r="C513" s="58">
        <v>908</v>
      </c>
      <c r="D513" s="83" t="s">
        <v>140</v>
      </c>
      <c r="E513" s="83" t="s">
        <v>48</v>
      </c>
      <c r="F513" s="58"/>
      <c r="G513" s="59"/>
      <c r="H513" s="55">
        <f t="shared" ref="H513:K516" si="373">H514</f>
        <v>746.3</v>
      </c>
      <c r="I513" s="55">
        <f t="shared" si="373"/>
        <v>0</v>
      </c>
      <c r="J513" s="73">
        <f t="shared" si="373"/>
        <v>1200</v>
      </c>
      <c r="K513" s="55">
        <f t="shared" si="373"/>
        <v>0</v>
      </c>
      <c r="L513" s="55"/>
      <c r="M513" s="55"/>
      <c r="N513" s="55"/>
      <c r="O513" s="70">
        <f>O514</f>
        <v>2172.6</v>
      </c>
      <c r="P513" s="55">
        <f t="shared" ref="P513:Y516" si="374">P514</f>
        <v>0</v>
      </c>
      <c r="Q513" s="70">
        <f t="shared" si="374"/>
        <v>0</v>
      </c>
      <c r="R513" s="70">
        <f t="shared" si="374"/>
        <v>0</v>
      </c>
      <c r="S513" s="70">
        <f t="shared" si="374"/>
        <v>0</v>
      </c>
      <c r="T513" s="76">
        <f t="shared" si="374"/>
        <v>2259</v>
      </c>
      <c r="U513" s="55">
        <f t="shared" si="374"/>
        <v>0</v>
      </c>
      <c r="V513" s="55">
        <f t="shared" si="374"/>
        <v>0</v>
      </c>
      <c r="W513" s="55">
        <f t="shared" si="374"/>
        <v>0</v>
      </c>
      <c r="X513" s="55">
        <f t="shared" si="374"/>
        <v>0</v>
      </c>
      <c r="Y513" s="106">
        <f t="shared" si="374"/>
        <v>838.6</v>
      </c>
      <c r="Z513" s="46"/>
      <c r="AA513" s="81"/>
    </row>
    <row r="514" spans="1:27" ht="37.5">
      <c r="A514" s="56"/>
      <c r="B514" s="57" t="s">
        <v>41</v>
      </c>
      <c r="C514" s="58">
        <v>908</v>
      </c>
      <c r="D514" s="83" t="s">
        <v>140</v>
      </c>
      <c r="E514" s="83" t="s">
        <v>48</v>
      </c>
      <c r="F514" s="58" t="s">
        <v>42</v>
      </c>
      <c r="G514" s="59"/>
      <c r="H514" s="55">
        <f t="shared" si="373"/>
        <v>746.3</v>
      </c>
      <c r="I514" s="55">
        <f t="shared" si="373"/>
        <v>0</v>
      </c>
      <c r="J514" s="73">
        <f t="shared" si="373"/>
        <v>1200</v>
      </c>
      <c r="K514" s="55">
        <f t="shared" si="373"/>
        <v>0</v>
      </c>
      <c r="L514" s="55"/>
      <c r="M514" s="55"/>
      <c r="N514" s="55"/>
      <c r="O514" s="70">
        <f>O515</f>
        <v>2172.6</v>
      </c>
      <c r="P514" s="55">
        <f t="shared" si="374"/>
        <v>0</v>
      </c>
      <c r="Q514" s="70">
        <f t="shared" si="374"/>
        <v>0</v>
      </c>
      <c r="R514" s="70">
        <f t="shared" si="374"/>
        <v>0</v>
      </c>
      <c r="S514" s="70">
        <f t="shared" si="374"/>
        <v>0</v>
      </c>
      <c r="T514" s="76">
        <f t="shared" si="374"/>
        <v>2259</v>
      </c>
      <c r="U514" s="55">
        <f t="shared" si="374"/>
        <v>0</v>
      </c>
      <c r="V514" s="55">
        <f t="shared" si="374"/>
        <v>0</v>
      </c>
      <c r="W514" s="55">
        <f t="shared" si="374"/>
        <v>0</v>
      </c>
      <c r="X514" s="55">
        <f t="shared" si="374"/>
        <v>0</v>
      </c>
      <c r="Y514" s="106">
        <f t="shared" si="374"/>
        <v>838.6</v>
      </c>
      <c r="Z514" s="46"/>
      <c r="AA514" s="81"/>
    </row>
    <row r="515" spans="1:27" ht="22.5" customHeight="1">
      <c r="A515" s="56"/>
      <c r="B515" s="57" t="s">
        <v>483</v>
      </c>
      <c r="C515" s="58">
        <v>908</v>
      </c>
      <c r="D515" s="83" t="s">
        <v>140</v>
      </c>
      <c r="E515" s="83" t="s">
        <v>48</v>
      </c>
      <c r="F515" s="58" t="s">
        <v>484</v>
      </c>
      <c r="G515" s="59"/>
      <c r="H515" s="55">
        <f t="shared" si="373"/>
        <v>746.3</v>
      </c>
      <c r="I515" s="55">
        <f t="shared" si="373"/>
        <v>0</v>
      </c>
      <c r="J515" s="73">
        <f t="shared" si="373"/>
        <v>1200</v>
      </c>
      <c r="K515" s="55">
        <f t="shared" si="373"/>
        <v>0</v>
      </c>
      <c r="L515" s="55"/>
      <c r="M515" s="55"/>
      <c r="N515" s="55"/>
      <c r="O515" s="70">
        <f>O516+O518</f>
        <v>2172.6</v>
      </c>
      <c r="P515" s="55">
        <f t="shared" ref="P515:T515" si="375">P516+P518</f>
        <v>0</v>
      </c>
      <c r="Q515" s="70">
        <f t="shared" si="375"/>
        <v>0</v>
      </c>
      <c r="R515" s="70">
        <f t="shared" si="375"/>
        <v>0</v>
      </c>
      <c r="S515" s="70">
        <f t="shared" si="375"/>
        <v>0</v>
      </c>
      <c r="T515" s="76">
        <f t="shared" si="375"/>
        <v>2259</v>
      </c>
      <c r="U515" s="55">
        <f t="shared" ref="U515:Y515" si="376">U516+U518</f>
        <v>0</v>
      </c>
      <c r="V515" s="55">
        <f t="shared" si="376"/>
        <v>0</v>
      </c>
      <c r="W515" s="55">
        <f t="shared" si="376"/>
        <v>0</v>
      </c>
      <c r="X515" s="55">
        <f t="shared" si="376"/>
        <v>0</v>
      </c>
      <c r="Y515" s="106">
        <f t="shared" si="376"/>
        <v>838.6</v>
      </c>
      <c r="Z515" s="46"/>
      <c r="AA515" s="81"/>
    </row>
    <row r="516" spans="1:27" ht="37.5" hidden="1">
      <c r="A516" s="56"/>
      <c r="B516" s="57" t="s">
        <v>485</v>
      </c>
      <c r="C516" s="58">
        <v>908</v>
      </c>
      <c r="D516" s="83" t="s">
        <v>140</v>
      </c>
      <c r="E516" s="83" t="s">
        <v>48</v>
      </c>
      <c r="F516" s="58" t="s">
        <v>486</v>
      </c>
      <c r="G516" s="59"/>
      <c r="H516" s="55">
        <f t="shared" si="373"/>
        <v>746.3</v>
      </c>
      <c r="I516" s="55">
        <f t="shared" si="373"/>
        <v>0</v>
      </c>
      <c r="J516" s="73">
        <f t="shared" si="373"/>
        <v>1200</v>
      </c>
      <c r="K516" s="55">
        <f t="shared" si="373"/>
        <v>0</v>
      </c>
      <c r="L516" s="55"/>
      <c r="M516" s="55"/>
      <c r="N516" s="55"/>
      <c r="O516" s="70">
        <f>O517</f>
        <v>1533.6</v>
      </c>
      <c r="P516" s="55">
        <f t="shared" ref="P516:R516" si="377">P517</f>
        <v>0</v>
      </c>
      <c r="Q516" s="70">
        <f t="shared" si="377"/>
        <v>0</v>
      </c>
      <c r="R516" s="70">
        <f t="shared" si="377"/>
        <v>0</v>
      </c>
      <c r="S516" s="70">
        <f t="shared" si="374"/>
        <v>0</v>
      </c>
      <c r="T516" s="76">
        <f t="shared" si="374"/>
        <v>1595</v>
      </c>
      <c r="U516" s="55">
        <f t="shared" si="374"/>
        <v>0</v>
      </c>
      <c r="V516" s="55">
        <f t="shared" si="374"/>
        <v>0</v>
      </c>
      <c r="W516" s="55">
        <f t="shared" si="374"/>
        <v>0</v>
      </c>
      <c r="X516" s="55">
        <f t="shared" si="374"/>
        <v>0</v>
      </c>
      <c r="Y516" s="106">
        <f t="shared" si="374"/>
        <v>0</v>
      </c>
      <c r="Z516" s="46"/>
      <c r="AA516" s="81"/>
    </row>
    <row r="517" spans="1:27" hidden="1">
      <c r="A517" s="56"/>
      <c r="B517" s="57" t="s">
        <v>38</v>
      </c>
      <c r="C517" s="58">
        <v>908</v>
      </c>
      <c r="D517" s="83" t="s">
        <v>140</v>
      </c>
      <c r="E517" s="83" t="s">
        <v>48</v>
      </c>
      <c r="F517" s="58" t="s">
        <v>486</v>
      </c>
      <c r="G517" s="59">
        <v>800</v>
      </c>
      <c r="H517" s="55">
        <v>746.3</v>
      </c>
      <c r="I517" s="55"/>
      <c r="J517" s="73">
        <v>1200</v>
      </c>
      <c r="K517" s="70"/>
      <c r="L517" s="70"/>
      <c r="M517" s="70"/>
      <c r="N517" s="70"/>
      <c r="O517" s="70">
        <v>1533.6</v>
      </c>
      <c r="P517" s="55"/>
      <c r="Q517" s="70">
        <v>0</v>
      </c>
      <c r="R517" s="70"/>
      <c r="S517" s="70"/>
      <c r="T517" s="77">
        <v>1595</v>
      </c>
      <c r="U517" s="57"/>
      <c r="V517" s="57"/>
      <c r="W517" s="57"/>
      <c r="X517" s="57"/>
      <c r="Y517" s="106">
        <v>0</v>
      </c>
      <c r="Z517" s="46"/>
      <c r="AA517" s="81"/>
    </row>
    <row r="518" spans="1:27" ht="40.5" customHeight="1">
      <c r="A518" s="56"/>
      <c r="B518" s="57" t="s">
        <v>487</v>
      </c>
      <c r="C518" s="58">
        <v>908</v>
      </c>
      <c r="D518" s="83" t="s">
        <v>140</v>
      </c>
      <c r="E518" s="83" t="s">
        <v>48</v>
      </c>
      <c r="F518" s="58" t="s">
        <v>488</v>
      </c>
      <c r="G518" s="59"/>
      <c r="H518" s="55"/>
      <c r="I518" s="55"/>
      <c r="J518" s="73"/>
      <c r="K518" s="70"/>
      <c r="L518" s="70"/>
      <c r="M518" s="70"/>
      <c r="N518" s="70"/>
      <c r="O518" s="70">
        <f t="shared" ref="O518:Y518" si="378">O519</f>
        <v>639</v>
      </c>
      <c r="P518" s="55">
        <f t="shared" si="378"/>
        <v>0</v>
      </c>
      <c r="Q518" s="70">
        <f t="shared" si="378"/>
        <v>0</v>
      </c>
      <c r="R518" s="70">
        <f t="shared" si="378"/>
        <v>0</v>
      </c>
      <c r="S518" s="70">
        <f t="shared" si="378"/>
        <v>0</v>
      </c>
      <c r="T518" s="77">
        <f t="shared" si="378"/>
        <v>664</v>
      </c>
      <c r="U518" s="86">
        <f t="shared" si="378"/>
        <v>0</v>
      </c>
      <c r="V518" s="86">
        <f t="shared" si="378"/>
        <v>0</v>
      </c>
      <c r="W518" s="86">
        <f t="shared" si="378"/>
        <v>0</v>
      </c>
      <c r="X518" s="86">
        <f t="shared" si="378"/>
        <v>0</v>
      </c>
      <c r="Y518" s="106">
        <f t="shared" si="378"/>
        <v>838.6</v>
      </c>
      <c r="Z518" s="46"/>
      <c r="AA518" s="81"/>
    </row>
    <row r="519" spans="1:27">
      <c r="A519" s="56"/>
      <c r="B519" s="57" t="s">
        <v>38</v>
      </c>
      <c r="C519" s="58">
        <v>908</v>
      </c>
      <c r="D519" s="83" t="s">
        <v>140</v>
      </c>
      <c r="E519" s="83" t="s">
        <v>48</v>
      </c>
      <c r="F519" s="58" t="s">
        <v>488</v>
      </c>
      <c r="G519" s="59">
        <v>800</v>
      </c>
      <c r="H519" s="55"/>
      <c r="I519" s="55"/>
      <c r="J519" s="73"/>
      <c r="K519" s="70"/>
      <c r="L519" s="70"/>
      <c r="M519" s="70"/>
      <c r="N519" s="70"/>
      <c r="O519" s="70">
        <v>639</v>
      </c>
      <c r="P519" s="55"/>
      <c r="Q519" s="70">
        <v>0</v>
      </c>
      <c r="R519" s="70"/>
      <c r="S519" s="70"/>
      <c r="T519" s="77">
        <v>664</v>
      </c>
      <c r="U519" s="57"/>
      <c r="V519" s="57"/>
      <c r="W519" s="57"/>
      <c r="X519" s="57"/>
      <c r="Y519" s="106">
        <v>838.6</v>
      </c>
      <c r="Z519" s="46"/>
      <c r="AA519" s="81"/>
    </row>
    <row r="520" spans="1:27">
      <c r="A520" s="56"/>
      <c r="B520" s="57" t="s">
        <v>489</v>
      </c>
      <c r="C520" s="58">
        <v>908</v>
      </c>
      <c r="D520" s="83" t="s">
        <v>140</v>
      </c>
      <c r="E520" s="83" t="s">
        <v>315</v>
      </c>
      <c r="F520" s="58"/>
      <c r="G520" s="59"/>
      <c r="H520" s="55">
        <f>H521+H529</f>
        <v>475.6</v>
      </c>
      <c r="I520" s="55">
        <f>I521+I529</f>
        <v>35459.5</v>
      </c>
      <c r="J520" s="73">
        <f>J521+J529</f>
        <v>475.6</v>
      </c>
      <c r="K520" s="55">
        <f>K521+K529</f>
        <v>0</v>
      </c>
      <c r="L520" s="55"/>
      <c r="M520" s="55"/>
      <c r="N520" s="55"/>
      <c r="O520" s="70">
        <f t="shared" ref="O520:T520" si="379">O521+O529+O527</f>
        <v>784.4</v>
      </c>
      <c r="P520" s="55">
        <f t="shared" si="379"/>
        <v>30943.5</v>
      </c>
      <c r="Q520" s="70">
        <f t="shared" si="379"/>
        <v>0</v>
      </c>
      <c r="R520" s="70">
        <f t="shared" si="379"/>
        <v>0</v>
      </c>
      <c r="S520" s="70">
        <f t="shared" si="379"/>
        <v>0</v>
      </c>
      <c r="T520" s="76">
        <f t="shared" si="379"/>
        <v>732.1</v>
      </c>
      <c r="U520" s="55">
        <f t="shared" ref="U520:Y520" si="380">U521+U529+U527</f>
        <v>0</v>
      </c>
      <c r="V520" s="55">
        <f t="shared" si="380"/>
        <v>0</v>
      </c>
      <c r="W520" s="55">
        <f t="shared" si="380"/>
        <v>0</v>
      </c>
      <c r="X520" s="55">
        <f t="shared" si="380"/>
        <v>0</v>
      </c>
      <c r="Y520" s="106">
        <f t="shared" si="380"/>
        <v>3249.8352500000001</v>
      </c>
      <c r="Z520" s="46"/>
      <c r="AA520" s="81"/>
    </row>
    <row r="521" spans="1:27" ht="62.25" customHeight="1">
      <c r="A521" s="56"/>
      <c r="B521" s="57" t="s">
        <v>490</v>
      </c>
      <c r="C521" s="58">
        <v>908</v>
      </c>
      <c r="D521" s="83" t="s">
        <v>140</v>
      </c>
      <c r="E521" s="83" t="s">
        <v>315</v>
      </c>
      <c r="F521" s="58" t="s">
        <v>420</v>
      </c>
      <c r="G521" s="59"/>
      <c r="H521" s="55">
        <f t="shared" ref="H521:K523" si="381">H522</f>
        <v>475.6</v>
      </c>
      <c r="I521" s="55">
        <f t="shared" si="381"/>
        <v>0</v>
      </c>
      <c r="J521" s="73">
        <f t="shared" si="381"/>
        <v>475.6</v>
      </c>
      <c r="K521" s="55">
        <f t="shared" si="381"/>
        <v>0</v>
      </c>
      <c r="L521" s="55"/>
      <c r="M521" s="55"/>
      <c r="N521" s="55"/>
      <c r="O521" s="70">
        <f>O522</f>
        <v>784.4</v>
      </c>
      <c r="P521" s="55">
        <f t="shared" ref="P521:Y523" si="382">P522</f>
        <v>0</v>
      </c>
      <c r="Q521" s="70">
        <f t="shared" si="382"/>
        <v>0</v>
      </c>
      <c r="R521" s="70">
        <f t="shared" si="382"/>
        <v>0</v>
      </c>
      <c r="S521" s="70">
        <f t="shared" si="382"/>
        <v>0</v>
      </c>
      <c r="T521" s="76">
        <f t="shared" si="382"/>
        <v>732.1</v>
      </c>
      <c r="U521" s="55">
        <f t="shared" si="382"/>
        <v>0</v>
      </c>
      <c r="V521" s="55">
        <f t="shared" si="382"/>
        <v>0</v>
      </c>
      <c r="W521" s="55">
        <f t="shared" si="382"/>
        <v>0</v>
      </c>
      <c r="X521" s="55">
        <f t="shared" si="382"/>
        <v>0</v>
      </c>
      <c r="Y521" s="106">
        <f t="shared" si="382"/>
        <v>3249.8352500000001</v>
      </c>
      <c r="Z521" s="46"/>
      <c r="AA521" s="81"/>
    </row>
    <row r="522" spans="1:27" ht="57.75" customHeight="1">
      <c r="A522" s="56"/>
      <c r="B522" s="57" t="s">
        <v>491</v>
      </c>
      <c r="C522" s="58">
        <v>908</v>
      </c>
      <c r="D522" s="83" t="s">
        <v>140</v>
      </c>
      <c r="E522" s="83" t="s">
        <v>315</v>
      </c>
      <c r="F522" s="58" t="s">
        <v>422</v>
      </c>
      <c r="G522" s="59"/>
      <c r="H522" s="55">
        <f t="shared" si="381"/>
        <v>475.6</v>
      </c>
      <c r="I522" s="55">
        <f t="shared" si="381"/>
        <v>0</v>
      </c>
      <c r="J522" s="73">
        <f t="shared" si="381"/>
        <v>475.6</v>
      </c>
      <c r="K522" s="55">
        <f t="shared" si="381"/>
        <v>0</v>
      </c>
      <c r="L522" s="55"/>
      <c r="M522" s="55"/>
      <c r="N522" s="55"/>
      <c r="O522" s="70">
        <f>O523</f>
        <v>784.4</v>
      </c>
      <c r="P522" s="55">
        <f t="shared" si="382"/>
        <v>0</v>
      </c>
      <c r="Q522" s="70">
        <f t="shared" si="382"/>
        <v>0</v>
      </c>
      <c r="R522" s="70">
        <f t="shared" si="382"/>
        <v>0</v>
      </c>
      <c r="S522" s="70">
        <f t="shared" si="382"/>
        <v>0</v>
      </c>
      <c r="T522" s="76">
        <f t="shared" si="382"/>
        <v>732.1</v>
      </c>
      <c r="U522" s="55">
        <f t="shared" si="382"/>
        <v>0</v>
      </c>
      <c r="V522" s="55">
        <f t="shared" si="382"/>
        <v>0</v>
      </c>
      <c r="W522" s="55">
        <f t="shared" si="382"/>
        <v>0</v>
      </c>
      <c r="X522" s="55">
        <f t="shared" si="382"/>
        <v>0</v>
      </c>
      <c r="Y522" s="106">
        <f t="shared" si="382"/>
        <v>3249.8352500000001</v>
      </c>
      <c r="Z522" s="46"/>
      <c r="AA522" s="81"/>
    </row>
    <row r="523" spans="1:27" ht="59.25" customHeight="1">
      <c r="A523" s="56"/>
      <c r="B523" s="57" t="s">
        <v>427</v>
      </c>
      <c r="C523" s="58">
        <v>908</v>
      </c>
      <c r="D523" s="83" t="s">
        <v>140</v>
      </c>
      <c r="E523" s="83" t="s">
        <v>315</v>
      </c>
      <c r="F523" s="58" t="s">
        <v>428</v>
      </c>
      <c r="G523" s="59"/>
      <c r="H523" s="55">
        <f t="shared" si="381"/>
        <v>475.6</v>
      </c>
      <c r="I523" s="55">
        <f t="shared" si="381"/>
        <v>0</v>
      </c>
      <c r="J523" s="73">
        <f t="shared" si="381"/>
        <v>475.6</v>
      </c>
      <c r="K523" s="55">
        <f t="shared" si="381"/>
        <v>0</v>
      </c>
      <c r="L523" s="55"/>
      <c r="M523" s="55"/>
      <c r="N523" s="55"/>
      <c r="O523" s="70">
        <f>O524</f>
        <v>784.4</v>
      </c>
      <c r="P523" s="55">
        <f t="shared" si="382"/>
        <v>0</v>
      </c>
      <c r="Q523" s="70">
        <f t="shared" si="382"/>
        <v>0</v>
      </c>
      <c r="R523" s="70">
        <f t="shared" si="382"/>
        <v>0</v>
      </c>
      <c r="S523" s="70">
        <f t="shared" si="382"/>
        <v>0</v>
      </c>
      <c r="T523" s="76">
        <f t="shared" si="382"/>
        <v>732.1</v>
      </c>
      <c r="U523" s="55">
        <f t="shared" si="382"/>
        <v>0</v>
      </c>
      <c r="V523" s="55">
        <f t="shared" si="382"/>
        <v>0</v>
      </c>
      <c r="W523" s="55">
        <f t="shared" si="382"/>
        <v>0</v>
      </c>
      <c r="X523" s="55">
        <f t="shared" si="382"/>
        <v>0</v>
      </c>
      <c r="Y523" s="106">
        <f t="shared" si="382"/>
        <v>3249.8352500000001</v>
      </c>
      <c r="Z523" s="46"/>
      <c r="AA523" s="81"/>
    </row>
    <row r="524" spans="1:27" ht="24.75" customHeight="1">
      <c r="A524" s="56"/>
      <c r="B524" s="57" t="s">
        <v>36</v>
      </c>
      <c r="C524" s="58">
        <v>908</v>
      </c>
      <c r="D524" s="83" t="s">
        <v>140</v>
      </c>
      <c r="E524" s="83" t="s">
        <v>315</v>
      </c>
      <c r="F524" s="58" t="s">
        <v>428</v>
      </c>
      <c r="G524" s="59">
        <v>200</v>
      </c>
      <c r="H524" s="55">
        <v>475.6</v>
      </c>
      <c r="I524" s="55"/>
      <c r="J524" s="73">
        <v>475.6</v>
      </c>
      <c r="K524" s="70">
        <v>0</v>
      </c>
      <c r="L524" s="70"/>
      <c r="M524" s="70"/>
      <c r="N524" s="70"/>
      <c r="O524" s="70">
        <v>784.4</v>
      </c>
      <c r="P524" s="55">
        <f>P527</f>
        <v>0</v>
      </c>
      <c r="Q524" s="70">
        <v>0</v>
      </c>
      <c r="R524" s="70">
        <f>R527</f>
        <v>0</v>
      </c>
      <c r="S524" s="70">
        <f>S527</f>
        <v>0</v>
      </c>
      <c r="T524" s="77">
        <v>732.1</v>
      </c>
      <c r="U524" s="57"/>
      <c r="V524" s="55">
        <v>0</v>
      </c>
      <c r="W524" s="57"/>
      <c r="X524" s="57"/>
      <c r="Y524" s="106">
        <v>3249.8352500000001</v>
      </c>
      <c r="Z524" s="46"/>
      <c r="AA524" s="81"/>
    </row>
    <row r="525" spans="1:27" hidden="1">
      <c r="A525" s="56"/>
      <c r="B525" s="57" t="s">
        <v>475</v>
      </c>
      <c r="C525" s="58">
        <v>908</v>
      </c>
      <c r="D525" s="83" t="s">
        <v>140</v>
      </c>
      <c r="E525" s="83" t="s">
        <v>315</v>
      </c>
      <c r="F525" s="58" t="s">
        <v>476</v>
      </c>
      <c r="G525" s="59"/>
      <c r="H525" s="55"/>
      <c r="I525" s="55"/>
      <c r="J525" s="73"/>
      <c r="K525" s="70"/>
      <c r="L525" s="70"/>
      <c r="M525" s="70"/>
      <c r="N525" s="70"/>
      <c r="O525" s="70"/>
      <c r="P525" s="55"/>
      <c r="Q525" s="70"/>
      <c r="R525" s="70"/>
      <c r="S525" s="70"/>
      <c r="T525" s="77"/>
      <c r="U525" s="57"/>
      <c r="V525" s="55"/>
      <c r="W525" s="57"/>
      <c r="X525" s="57"/>
      <c r="Y525" s="106">
        <f>Y526</f>
        <v>0</v>
      </c>
      <c r="Z525" s="46"/>
      <c r="AA525" s="81"/>
    </row>
    <row r="526" spans="1:27" hidden="1">
      <c r="A526" s="56"/>
      <c r="B526" s="57" t="s">
        <v>492</v>
      </c>
      <c r="C526" s="58">
        <v>908</v>
      </c>
      <c r="D526" s="83" t="s">
        <v>140</v>
      </c>
      <c r="E526" s="83" t="s">
        <v>315</v>
      </c>
      <c r="F526" s="58" t="s">
        <v>493</v>
      </c>
      <c r="G526" s="59"/>
      <c r="H526" s="55"/>
      <c r="I526" s="55"/>
      <c r="J526" s="73"/>
      <c r="K526" s="70"/>
      <c r="L526" s="70"/>
      <c r="M526" s="70"/>
      <c r="N526" s="70"/>
      <c r="O526" s="70"/>
      <c r="P526" s="55"/>
      <c r="Q526" s="70"/>
      <c r="R526" s="70"/>
      <c r="S526" s="70"/>
      <c r="T526" s="77"/>
      <c r="U526" s="57"/>
      <c r="V526" s="55"/>
      <c r="W526" s="57"/>
      <c r="X526" s="57"/>
      <c r="Y526" s="106">
        <f>Y527</f>
        <v>0</v>
      </c>
      <c r="Z526" s="46"/>
      <c r="AA526" s="81"/>
    </row>
    <row r="527" spans="1:27" hidden="1">
      <c r="A527" s="56"/>
      <c r="B527" s="57" t="s">
        <v>494</v>
      </c>
      <c r="C527" s="58">
        <v>908</v>
      </c>
      <c r="D527" s="83" t="s">
        <v>140</v>
      </c>
      <c r="E527" s="83" t="s">
        <v>315</v>
      </c>
      <c r="F527" s="58" t="s">
        <v>495</v>
      </c>
      <c r="G527" s="59"/>
      <c r="H527" s="55"/>
      <c r="I527" s="55"/>
      <c r="J527" s="73"/>
      <c r="K527" s="70"/>
      <c r="L527" s="70"/>
      <c r="M527" s="70"/>
      <c r="N527" s="65"/>
      <c r="O527" s="70">
        <f t="shared" ref="O527:T527" si="383">O528</f>
        <v>0</v>
      </c>
      <c r="P527" s="55">
        <f t="shared" si="383"/>
        <v>0</v>
      </c>
      <c r="Q527" s="70">
        <f t="shared" si="383"/>
        <v>0</v>
      </c>
      <c r="R527" s="70">
        <f t="shared" si="383"/>
        <v>0</v>
      </c>
      <c r="S527" s="70">
        <f t="shared" si="383"/>
        <v>0</v>
      </c>
      <c r="T527" s="76">
        <f t="shared" si="383"/>
        <v>0</v>
      </c>
      <c r="U527" s="57"/>
      <c r="V527" s="57"/>
      <c r="W527" s="57"/>
      <c r="X527" s="57"/>
      <c r="Y527" s="106">
        <f>Y528</f>
        <v>0</v>
      </c>
      <c r="Z527" s="46"/>
      <c r="AA527" s="81"/>
    </row>
    <row r="528" spans="1:27" hidden="1">
      <c r="A528" s="56"/>
      <c r="B528" s="57" t="s">
        <v>431</v>
      </c>
      <c r="C528" s="58">
        <v>908</v>
      </c>
      <c r="D528" s="83" t="s">
        <v>140</v>
      </c>
      <c r="E528" s="83" t="s">
        <v>315</v>
      </c>
      <c r="F528" s="58" t="s">
        <v>495</v>
      </c>
      <c r="G528" s="59">
        <v>500</v>
      </c>
      <c r="H528" s="55"/>
      <c r="I528" s="55"/>
      <c r="J528" s="73"/>
      <c r="K528" s="70"/>
      <c r="L528" s="70"/>
      <c r="M528" s="70"/>
      <c r="N528" s="70"/>
      <c r="O528" s="70">
        <f>N528+M528</f>
        <v>0</v>
      </c>
      <c r="P528" s="55"/>
      <c r="Q528" s="65"/>
      <c r="R528" s="65"/>
      <c r="S528" s="65"/>
      <c r="T528" s="77">
        <f>O528+P528+Q528+R528+S528</f>
        <v>0</v>
      </c>
      <c r="U528" s="57"/>
      <c r="V528" s="57"/>
      <c r="W528" s="57"/>
      <c r="X528" s="57"/>
      <c r="Y528" s="106">
        <v>0</v>
      </c>
      <c r="Z528" s="46"/>
      <c r="AA528" s="81"/>
    </row>
    <row r="529" spans="1:27" ht="39.75" hidden="1" customHeight="1">
      <c r="A529" s="56"/>
      <c r="B529" s="57" t="s">
        <v>496</v>
      </c>
      <c r="C529" s="58">
        <v>908</v>
      </c>
      <c r="D529" s="83" t="s">
        <v>140</v>
      </c>
      <c r="E529" s="83" t="s">
        <v>315</v>
      </c>
      <c r="F529" s="58" t="s">
        <v>497</v>
      </c>
      <c r="G529" s="59"/>
      <c r="H529" s="55">
        <f>H531</f>
        <v>0</v>
      </c>
      <c r="I529" s="55">
        <f>I531</f>
        <v>35459.5</v>
      </c>
      <c r="J529" s="73">
        <f>J531</f>
        <v>0</v>
      </c>
      <c r="K529" s="55">
        <f>K531</f>
        <v>0</v>
      </c>
      <c r="L529" s="55"/>
      <c r="M529" s="55"/>
      <c r="N529" s="55"/>
      <c r="O529" s="70">
        <f>O531</f>
        <v>0</v>
      </c>
      <c r="P529" s="55">
        <f>P531</f>
        <v>30943.5</v>
      </c>
      <c r="Q529" s="70">
        <f>Q531</f>
        <v>0</v>
      </c>
      <c r="R529" s="70">
        <f>R531</f>
        <v>0</v>
      </c>
      <c r="S529" s="70">
        <f>S531</f>
        <v>0</v>
      </c>
      <c r="T529" s="76">
        <f t="shared" ref="T529:Y530" si="384">T530</f>
        <v>0</v>
      </c>
      <c r="U529" s="55">
        <f t="shared" si="384"/>
        <v>0</v>
      </c>
      <c r="V529" s="55">
        <f t="shared" si="384"/>
        <v>0</v>
      </c>
      <c r="W529" s="55">
        <f t="shared" si="384"/>
        <v>0</v>
      </c>
      <c r="X529" s="55">
        <f t="shared" si="384"/>
        <v>0</v>
      </c>
      <c r="Y529" s="106">
        <f t="shared" si="384"/>
        <v>0</v>
      </c>
      <c r="Z529" s="46"/>
      <c r="AA529" s="81"/>
    </row>
    <row r="530" spans="1:27" ht="20.25" hidden="1" customHeight="1">
      <c r="A530" s="56"/>
      <c r="B530" s="57" t="s">
        <v>498</v>
      </c>
      <c r="C530" s="58">
        <v>908</v>
      </c>
      <c r="D530" s="83" t="s">
        <v>140</v>
      </c>
      <c r="E530" s="83" t="s">
        <v>315</v>
      </c>
      <c r="F530" s="58" t="s">
        <v>499</v>
      </c>
      <c r="G530" s="59"/>
      <c r="H530" s="55"/>
      <c r="I530" s="55"/>
      <c r="J530" s="73"/>
      <c r="K530" s="55"/>
      <c r="L530" s="55"/>
      <c r="M530" s="55"/>
      <c r="N530" s="55"/>
      <c r="O530" s="70"/>
      <c r="P530" s="55"/>
      <c r="Q530" s="70"/>
      <c r="R530" s="70"/>
      <c r="S530" s="70"/>
      <c r="T530" s="76">
        <f t="shared" si="384"/>
        <v>0</v>
      </c>
      <c r="U530" s="55">
        <f t="shared" si="384"/>
        <v>0</v>
      </c>
      <c r="V530" s="55">
        <f t="shared" si="384"/>
        <v>0</v>
      </c>
      <c r="W530" s="55">
        <f t="shared" si="384"/>
        <v>0</v>
      </c>
      <c r="X530" s="55">
        <f t="shared" si="384"/>
        <v>0</v>
      </c>
      <c r="Y530" s="106">
        <f t="shared" si="384"/>
        <v>0</v>
      </c>
      <c r="Z530" s="46"/>
      <c r="AA530" s="81"/>
    </row>
    <row r="531" spans="1:27" ht="37.5" hidden="1">
      <c r="A531" s="56"/>
      <c r="B531" s="57" t="s">
        <v>500</v>
      </c>
      <c r="C531" s="58">
        <v>908</v>
      </c>
      <c r="D531" s="83" t="s">
        <v>140</v>
      </c>
      <c r="E531" s="83" t="s">
        <v>315</v>
      </c>
      <c r="F531" s="58" t="s">
        <v>501</v>
      </c>
      <c r="G531" s="59"/>
      <c r="H531" s="55">
        <f t="shared" ref="H531:K531" si="385">H532</f>
        <v>0</v>
      </c>
      <c r="I531" s="55">
        <f t="shared" si="385"/>
        <v>35459.5</v>
      </c>
      <c r="J531" s="73">
        <f t="shared" si="385"/>
        <v>0</v>
      </c>
      <c r="K531" s="55">
        <f t="shared" si="385"/>
        <v>0</v>
      </c>
      <c r="L531" s="55"/>
      <c r="M531" s="55"/>
      <c r="N531" s="55"/>
      <c r="O531" s="70">
        <f>O532</f>
        <v>0</v>
      </c>
      <c r="P531" s="55">
        <f t="shared" ref="P531:Y531" si="386">P532</f>
        <v>30943.5</v>
      </c>
      <c r="Q531" s="70">
        <f t="shared" si="386"/>
        <v>0</v>
      </c>
      <c r="R531" s="70">
        <f t="shared" si="386"/>
        <v>0</v>
      </c>
      <c r="S531" s="70">
        <f t="shared" si="386"/>
        <v>0</v>
      </c>
      <c r="T531" s="76">
        <f t="shared" si="386"/>
        <v>0</v>
      </c>
      <c r="U531" s="55">
        <f t="shared" si="386"/>
        <v>0</v>
      </c>
      <c r="V531" s="55">
        <f t="shared" si="386"/>
        <v>0</v>
      </c>
      <c r="W531" s="55">
        <f t="shared" si="386"/>
        <v>0</v>
      </c>
      <c r="X531" s="55">
        <f t="shared" si="386"/>
        <v>0</v>
      </c>
      <c r="Y531" s="106">
        <f t="shared" si="386"/>
        <v>0</v>
      </c>
      <c r="Z531" s="46"/>
      <c r="AA531" s="81"/>
    </row>
    <row r="532" spans="1:27" hidden="1">
      <c r="A532" s="56"/>
      <c r="B532" s="57" t="s">
        <v>431</v>
      </c>
      <c r="C532" s="58">
        <v>908</v>
      </c>
      <c r="D532" s="83" t="s">
        <v>140</v>
      </c>
      <c r="E532" s="83" t="s">
        <v>315</v>
      </c>
      <c r="F532" s="58" t="s">
        <v>501</v>
      </c>
      <c r="G532" s="59">
        <v>500</v>
      </c>
      <c r="H532" s="55">
        <v>0</v>
      </c>
      <c r="I532" s="55">
        <v>35459.5</v>
      </c>
      <c r="J532" s="73"/>
      <c r="K532" s="70"/>
      <c r="L532" s="70"/>
      <c r="M532" s="70"/>
      <c r="N532" s="70"/>
      <c r="O532" s="70">
        <f>J532+K532+M532+N532+L532</f>
        <v>0</v>
      </c>
      <c r="P532" s="55">
        <v>30943.5</v>
      </c>
      <c r="Q532" s="65"/>
      <c r="R532" s="65"/>
      <c r="S532" s="65"/>
      <c r="T532" s="77"/>
      <c r="U532" s="57"/>
      <c r="V532" s="57"/>
      <c r="W532" s="57"/>
      <c r="X532" s="55">
        <v>0</v>
      </c>
      <c r="Y532" s="106">
        <f>T532+U532+V532+W532+X532</f>
        <v>0</v>
      </c>
      <c r="Z532" s="46"/>
      <c r="AA532" s="81"/>
    </row>
    <row r="533" spans="1:27">
      <c r="A533" s="56"/>
      <c r="B533" s="57" t="s">
        <v>502</v>
      </c>
      <c r="C533" s="58">
        <v>908</v>
      </c>
      <c r="D533" s="83" t="s">
        <v>140</v>
      </c>
      <c r="E533" s="83" t="s">
        <v>503</v>
      </c>
      <c r="F533" s="58"/>
      <c r="G533" s="59"/>
      <c r="H533" s="55">
        <f>H546+H542+H534</f>
        <v>1325</v>
      </c>
      <c r="I533" s="55">
        <f>I546+I542+I534</f>
        <v>0</v>
      </c>
      <c r="J533" s="73">
        <f>J546+J542+J534</f>
        <v>3275</v>
      </c>
      <c r="K533" s="55">
        <f>K546+K542+K534</f>
        <v>0</v>
      </c>
      <c r="L533" s="55"/>
      <c r="M533" s="55"/>
      <c r="N533" s="55"/>
      <c r="O533" s="70">
        <f t="shared" ref="O533:S533" si="387">O534+O542+O546</f>
        <v>10855</v>
      </c>
      <c r="P533" s="55">
        <f t="shared" si="387"/>
        <v>0</v>
      </c>
      <c r="Q533" s="70">
        <f t="shared" si="387"/>
        <v>0</v>
      </c>
      <c r="R533" s="70">
        <f t="shared" si="387"/>
        <v>0</v>
      </c>
      <c r="S533" s="70">
        <f t="shared" si="387"/>
        <v>0</v>
      </c>
      <c r="T533" s="76">
        <f t="shared" ref="T533:Y533" si="388">T534+T542+T546+T539</f>
        <v>1655.8</v>
      </c>
      <c r="U533" s="55">
        <f t="shared" si="388"/>
        <v>0</v>
      </c>
      <c r="V533" s="55">
        <f t="shared" si="388"/>
        <v>0</v>
      </c>
      <c r="W533" s="55">
        <f t="shared" si="388"/>
        <v>0</v>
      </c>
      <c r="X533" s="55">
        <f t="shared" si="388"/>
        <v>0</v>
      </c>
      <c r="Y533" s="106">
        <f t="shared" si="388"/>
        <v>393.4</v>
      </c>
      <c r="Z533" s="46"/>
      <c r="AA533" s="81"/>
    </row>
    <row r="534" spans="1:27" ht="60" customHeight="1">
      <c r="A534" s="56"/>
      <c r="B534" s="57" t="s">
        <v>504</v>
      </c>
      <c r="C534" s="58">
        <v>908</v>
      </c>
      <c r="D534" s="83" t="s">
        <v>140</v>
      </c>
      <c r="E534" s="83" t="s">
        <v>503</v>
      </c>
      <c r="F534" s="58" t="s">
        <v>505</v>
      </c>
      <c r="G534" s="59"/>
      <c r="H534" s="55">
        <f>H535+H537</f>
        <v>15</v>
      </c>
      <c r="I534" s="55">
        <f>I535</f>
        <v>0</v>
      </c>
      <c r="J534" s="73">
        <f>J535+J537</f>
        <v>15</v>
      </c>
      <c r="K534" s="55">
        <f>K535+K537</f>
        <v>0</v>
      </c>
      <c r="L534" s="55"/>
      <c r="M534" s="55"/>
      <c r="N534" s="55"/>
      <c r="O534" s="70">
        <f t="shared" ref="O534:T534" si="389">O535+O537</f>
        <v>5</v>
      </c>
      <c r="P534" s="55">
        <f t="shared" si="389"/>
        <v>0</v>
      </c>
      <c r="Q534" s="70">
        <f t="shared" si="389"/>
        <v>0</v>
      </c>
      <c r="R534" s="70">
        <f t="shared" si="389"/>
        <v>0</v>
      </c>
      <c r="S534" s="70">
        <f t="shared" si="389"/>
        <v>0</v>
      </c>
      <c r="T534" s="76">
        <f t="shared" si="389"/>
        <v>55.8</v>
      </c>
      <c r="U534" s="55">
        <f t="shared" ref="U534:Y534" si="390">U535+U537</f>
        <v>0</v>
      </c>
      <c r="V534" s="55">
        <f t="shared" si="390"/>
        <v>0</v>
      </c>
      <c r="W534" s="55">
        <f t="shared" si="390"/>
        <v>0</v>
      </c>
      <c r="X534" s="55">
        <f t="shared" si="390"/>
        <v>0</v>
      </c>
      <c r="Y534" s="106">
        <f t="shared" si="390"/>
        <v>10.8</v>
      </c>
      <c r="Z534" s="46"/>
      <c r="AA534" s="81"/>
    </row>
    <row r="535" spans="1:27" ht="24.75" customHeight="1">
      <c r="A535" s="56"/>
      <c r="B535" s="57" t="s">
        <v>506</v>
      </c>
      <c r="C535" s="58">
        <v>908</v>
      </c>
      <c r="D535" s="83" t="s">
        <v>140</v>
      </c>
      <c r="E535" s="83" t="s">
        <v>503</v>
      </c>
      <c r="F535" s="58" t="s">
        <v>507</v>
      </c>
      <c r="G535" s="59"/>
      <c r="H535" s="55">
        <f>H536</f>
        <v>10</v>
      </c>
      <c r="I535" s="55">
        <f>I536</f>
        <v>0</v>
      </c>
      <c r="J535" s="73">
        <f>J536</f>
        <v>10</v>
      </c>
      <c r="K535" s="55">
        <f>K536</f>
        <v>0</v>
      </c>
      <c r="L535" s="55"/>
      <c r="M535" s="55"/>
      <c r="N535" s="55"/>
      <c r="O535" s="70">
        <f t="shared" ref="O535:Y535" si="391">O536</f>
        <v>0</v>
      </c>
      <c r="P535" s="55">
        <f t="shared" si="391"/>
        <v>0</v>
      </c>
      <c r="Q535" s="70">
        <f t="shared" si="391"/>
        <v>0</v>
      </c>
      <c r="R535" s="70">
        <f t="shared" si="391"/>
        <v>0</v>
      </c>
      <c r="S535" s="70">
        <f t="shared" si="391"/>
        <v>0</v>
      </c>
      <c r="T535" s="76">
        <f t="shared" si="391"/>
        <v>50.8</v>
      </c>
      <c r="U535" s="55">
        <f t="shared" si="391"/>
        <v>0</v>
      </c>
      <c r="V535" s="55">
        <f t="shared" si="391"/>
        <v>0</v>
      </c>
      <c r="W535" s="55">
        <f t="shared" si="391"/>
        <v>0</v>
      </c>
      <c r="X535" s="55">
        <f t="shared" si="391"/>
        <v>0</v>
      </c>
      <c r="Y535" s="106">
        <f t="shared" si="391"/>
        <v>10.8</v>
      </c>
      <c r="Z535" s="46"/>
      <c r="AA535" s="81"/>
    </row>
    <row r="536" spans="1:27" ht="22.5" customHeight="1">
      <c r="A536" s="56"/>
      <c r="B536" s="57" t="s">
        <v>36</v>
      </c>
      <c r="C536" s="58">
        <v>908</v>
      </c>
      <c r="D536" s="83" t="s">
        <v>140</v>
      </c>
      <c r="E536" s="83" t="s">
        <v>503</v>
      </c>
      <c r="F536" s="58" t="s">
        <v>507</v>
      </c>
      <c r="G536" s="59">
        <v>200</v>
      </c>
      <c r="H536" s="55">
        <v>10</v>
      </c>
      <c r="I536" s="55"/>
      <c r="J536" s="73">
        <v>10</v>
      </c>
      <c r="K536" s="70"/>
      <c r="L536" s="70"/>
      <c r="M536" s="70"/>
      <c r="N536" s="70"/>
      <c r="O536" s="70">
        <v>0</v>
      </c>
      <c r="P536" s="55">
        <v>0</v>
      </c>
      <c r="Q536" s="65"/>
      <c r="R536" s="65"/>
      <c r="S536" s="65"/>
      <c r="T536" s="77">
        <v>50.8</v>
      </c>
      <c r="U536" s="86"/>
      <c r="V536" s="86"/>
      <c r="W536" s="86"/>
      <c r="X536" s="86"/>
      <c r="Y536" s="106">
        <v>10.8</v>
      </c>
      <c r="Z536" s="46"/>
      <c r="AA536" s="81"/>
    </row>
    <row r="537" spans="1:27" ht="37.5" hidden="1">
      <c r="A537" s="56"/>
      <c r="B537" s="57" t="s">
        <v>508</v>
      </c>
      <c r="C537" s="58">
        <v>908</v>
      </c>
      <c r="D537" s="83" t="s">
        <v>140</v>
      </c>
      <c r="E537" s="83" t="s">
        <v>503</v>
      </c>
      <c r="F537" s="58" t="s">
        <v>509</v>
      </c>
      <c r="G537" s="59"/>
      <c r="H537" s="55">
        <f>H538</f>
        <v>5</v>
      </c>
      <c r="I537" s="55">
        <f>I538</f>
        <v>0</v>
      </c>
      <c r="J537" s="73">
        <f>J538</f>
        <v>5</v>
      </c>
      <c r="K537" s="55">
        <f>K538</f>
        <v>0</v>
      </c>
      <c r="L537" s="55"/>
      <c r="M537" s="55"/>
      <c r="N537" s="55"/>
      <c r="O537" s="70">
        <f t="shared" ref="O537:Y537" si="392">O538</f>
        <v>5</v>
      </c>
      <c r="P537" s="55">
        <f t="shared" si="392"/>
        <v>0</v>
      </c>
      <c r="Q537" s="70">
        <f t="shared" si="392"/>
        <v>0</v>
      </c>
      <c r="R537" s="70">
        <f t="shared" si="392"/>
        <v>0</v>
      </c>
      <c r="S537" s="70">
        <f t="shared" si="392"/>
        <v>0</v>
      </c>
      <c r="T537" s="76">
        <f t="shared" si="392"/>
        <v>5</v>
      </c>
      <c r="U537" s="55">
        <f t="shared" si="392"/>
        <v>0</v>
      </c>
      <c r="V537" s="55">
        <f t="shared" si="392"/>
        <v>0</v>
      </c>
      <c r="W537" s="55">
        <f t="shared" si="392"/>
        <v>0</v>
      </c>
      <c r="X537" s="55">
        <f t="shared" si="392"/>
        <v>0</v>
      </c>
      <c r="Y537" s="106">
        <f t="shared" si="392"/>
        <v>0</v>
      </c>
      <c r="Z537" s="46"/>
      <c r="AA537" s="81"/>
    </row>
    <row r="538" spans="1:27" ht="21.75" hidden="1" customHeight="1">
      <c r="A538" s="56"/>
      <c r="B538" s="57" t="s">
        <v>36</v>
      </c>
      <c r="C538" s="58">
        <v>908</v>
      </c>
      <c r="D538" s="83" t="s">
        <v>140</v>
      </c>
      <c r="E538" s="83" t="s">
        <v>503</v>
      </c>
      <c r="F538" s="58" t="s">
        <v>509</v>
      </c>
      <c r="G538" s="59">
        <v>200</v>
      </c>
      <c r="H538" s="55">
        <v>5</v>
      </c>
      <c r="I538" s="55"/>
      <c r="J538" s="73">
        <v>5</v>
      </c>
      <c r="K538" s="70"/>
      <c r="L538" s="70"/>
      <c r="M538" s="70"/>
      <c r="N538" s="70"/>
      <c r="O538" s="70">
        <v>5</v>
      </c>
      <c r="P538" s="55"/>
      <c r="Q538" s="65"/>
      <c r="R538" s="65"/>
      <c r="S538" s="65"/>
      <c r="T538" s="77">
        <v>5</v>
      </c>
      <c r="U538" s="57"/>
      <c r="V538" s="57"/>
      <c r="W538" s="57"/>
      <c r="X538" s="57"/>
      <c r="Y538" s="106">
        <v>0</v>
      </c>
      <c r="Z538" s="46"/>
      <c r="AA538" s="81"/>
    </row>
    <row r="539" spans="1:27" ht="42" hidden="1" customHeight="1">
      <c r="A539" s="56"/>
      <c r="B539" s="57" t="s">
        <v>496</v>
      </c>
      <c r="C539" s="58">
        <v>908</v>
      </c>
      <c r="D539" s="83" t="s">
        <v>140</v>
      </c>
      <c r="E539" s="83" t="s">
        <v>503</v>
      </c>
      <c r="F539" s="58" t="s">
        <v>497</v>
      </c>
      <c r="G539" s="59"/>
      <c r="H539" s="55"/>
      <c r="I539" s="55"/>
      <c r="J539" s="73"/>
      <c r="K539" s="70"/>
      <c r="L539" s="70"/>
      <c r="M539" s="70"/>
      <c r="N539" s="70"/>
      <c r="O539" s="70"/>
      <c r="P539" s="55"/>
      <c r="Q539" s="65"/>
      <c r="R539" s="65"/>
      <c r="S539" s="65"/>
      <c r="T539" s="77">
        <f t="shared" ref="T539:Y540" si="393">T540</f>
        <v>0</v>
      </c>
      <c r="U539" s="55">
        <f t="shared" si="393"/>
        <v>0</v>
      </c>
      <c r="V539" s="55">
        <f t="shared" si="393"/>
        <v>0</v>
      </c>
      <c r="W539" s="57">
        <f t="shared" si="393"/>
        <v>0</v>
      </c>
      <c r="X539" s="57">
        <f t="shared" si="393"/>
        <v>0</v>
      </c>
      <c r="Y539" s="106">
        <f t="shared" si="393"/>
        <v>0</v>
      </c>
      <c r="Z539" s="46"/>
      <c r="AA539" s="81"/>
    </row>
    <row r="540" spans="1:27" ht="41.25" hidden="1" customHeight="1">
      <c r="A540" s="56"/>
      <c r="B540" s="57" t="s">
        <v>510</v>
      </c>
      <c r="C540" s="58">
        <v>908</v>
      </c>
      <c r="D540" s="83" t="s">
        <v>140</v>
      </c>
      <c r="E540" s="83" t="s">
        <v>503</v>
      </c>
      <c r="F540" s="58" t="s">
        <v>511</v>
      </c>
      <c r="G540" s="59"/>
      <c r="H540" s="55"/>
      <c r="I540" s="55"/>
      <c r="J540" s="73"/>
      <c r="K540" s="70"/>
      <c r="L540" s="70"/>
      <c r="M540" s="70"/>
      <c r="N540" s="70"/>
      <c r="O540" s="70"/>
      <c r="P540" s="55"/>
      <c r="Q540" s="65"/>
      <c r="R540" s="65"/>
      <c r="S540" s="65"/>
      <c r="T540" s="77">
        <f t="shared" si="393"/>
        <v>0</v>
      </c>
      <c r="U540" s="55">
        <f t="shared" si="393"/>
        <v>0</v>
      </c>
      <c r="V540" s="55">
        <f t="shared" si="393"/>
        <v>0</v>
      </c>
      <c r="W540" s="57">
        <f t="shared" si="393"/>
        <v>0</v>
      </c>
      <c r="X540" s="57">
        <f t="shared" si="393"/>
        <v>0</v>
      </c>
      <c r="Y540" s="106">
        <f t="shared" si="393"/>
        <v>0</v>
      </c>
      <c r="Z540" s="46"/>
      <c r="AA540" s="81"/>
    </row>
    <row r="541" spans="1:27" hidden="1">
      <c r="A541" s="56"/>
      <c r="B541" s="57" t="s">
        <v>431</v>
      </c>
      <c r="C541" s="58">
        <v>908</v>
      </c>
      <c r="D541" s="83" t="s">
        <v>140</v>
      </c>
      <c r="E541" s="83" t="s">
        <v>503</v>
      </c>
      <c r="F541" s="58" t="s">
        <v>511</v>
      </c>
      <c r="G541" s="59">
        <v>500</v>
      </c>
      <c r="H541" s="55"/>
      <c r="I541" s="55"/>
      <c r="J541" s="73"/>
      <c r="K541" s="70"/>
      <c r="L541" s="70"/>
      <c r="M541" s="70"/>
      <c r="N541" s="70"/>
      <c r="O541" s="70"/>
      <c r="P541" s="55"/>
      <c r="Q541" s="65"/>
      <c r="R541" s="65"/>
      <c r="S541" s="65"/>
      <c r="T541" s="77"/>
      <c r="U541" s="55"/>
      <c r="V541" s="55">
        <v>0</v>
      </c>
      <c r="W541" s="57"/>
      <c r="X541" s="57"/>
      <c r="Y541" s="106">
        <f>T541+U541+V541+W541+X541</f>
        <v>0</v>
      </c>
      <c r="Z541" s="46"/>
      <c r="AA541" s="81"/>
    </row>
    <row r="542" spans="1:27" ht="60.75" customHeight="1">
      <c r="A542" s="56"/>
      <c r="B542" s="57" t="s">
        <v>490</v>
      </c>
      <c r="C542" s="58">
        <v>908</v>
      </c>
      <c r="D542" s="83" t="s">
        <v>140</v>
      </c>
      <c r="E542" s="83" t="s">
        <v>503</v>
      </c>
      <c r="F542" s="58" t="s">
        <v>420</v>
      </c>
      <c r="G542" s="59"/>
      <c r="H542" s="55">
        <f t="shared" ref="H542:K544" si="394">H543</f>
        <v>210</v>
      </c>
      <c r="I542" s="55">
        <f t="shared" si="394"/>
        <v>0</v>
      </c>
      <c r="J542" s="73">
        <f t="shared" si="394"/>
        <v>210</v>
      </c>
      <c r="K542" s="55">
        <f t="shared" si="394"/>
        <v>0</v>
      </c>
      <c r="L542" s="55"/>
      <c r="M542" s="55"/>
      <c r="N542" s="55"/>
      <c r="O542" s="70">
        <f>O543</f>
        <v>850</v>
      </c>
      <c r="P542" s="55">
        <f t="shared" ref="P542:Y544" si="395">P543</f>
        <v>0</v>
      </c>
      <c r="Q542" s="70">
        <f t="shared" si="395"/>
        <v>0</v>
      </c>
      <c r="R542" s="70">
        <f t="shared" si="395"/>
        <v>0</v>
      </c>
      <c r="S542" s="70">
        <f t="shared" si="395"/>
        <v>0</v>
      </c>
      <c r="T542" s="76">
        <f t="shared" si="395"/>
        <v>250</v>
      </c>
      <c r="U542" s="55">
        <f t="shared" si="395"/>
        <v>0</v>
      </c>
      <c r="V542" s="55">
        <f t="shared" si="395"/>
        <v>0</v>
      </c>
      <c r="W542" s="55">
        <f t="shared" si="395"/>
        <v>0</v>
      </c>
      <c r="X542" s="55">
        <f t="shared" si="395"/>
        <v>0</v>
      </c>
      <c r="Y542" s="106">
        <f t="shared" si="395"/>
        <v>240</v>
      </c>
      <c r="Z542" s="46"/>
      <c r="AA542" s="81"/>
    </row>
    <row r="543" spans="1:27" ht="58.5" customHeight="1">
      <c r="A543" s="56"/>
      <c r="B543" s="57" t="s">
        <v>512</v>
      </c>
      <c r="C543" s="58">
        <v>908</v>
      </c>
      <c r="D543" s="83" t="s">
        <v>140</v>
      </c>
      <c r="E543" s="83" t="s">
        <v>503</v>
      </c>
      <c r="F543" s="58" t="s">
        <v>422</v>
      </c>
      <c r="G543" s="59"/>
      <c r="H543" s="55">
        <f t="shared" si="394"/>
        <v>210</v>
      </c>
      <c r="I543" s="55">
        <f t="shared" si="394"/>
        <v>0</v>
      </c>
      <c r="J543" s="73">
        <f t="shared" si="394"/>
        <v>210</v>
      </c>
      <c r="K543" s="55">
        <f t="shared" si="394"/>
        <v>0</v>
      </c>
      <c r="L543" s="55"/>
      <c r="M543" s="55"/>
      <c r="N543" s="55"/>
      <c r="O543" s="70">
        <f>O544</f>
        <v>850</v>
      </c>
      <c r="P543" s="55">
        <f t="shared" si="395"/>
        <v>0</v>
      </c>
      <c r="Q543" s="70">
        <f t="shared" si="395"/>
        <v>0</v>
      </c>
      <c r="R543" s="70">
        <f t="shared" si="395"/>
        <v>0</v>
      </c>
      <c r="S543" s="70">
        <f t="shared" si="395"/>
        <v>0</v>
      </c>
      <c r="T543" s="76">
        <f t="shared" si="395"/>
        <v>250</v>
      </c>
      <c r="U543" s="55">
        <f t="shared" si="395"/>
        <v>0</v>
      </c>
      <c r="V543" s="55">
        <f t="shared" si="395"/>
        <v>0</v>
      </c>
      <c r="W543" s="55">
        <f t="shared" si="395"/>
        <v>0</v>
      </c>
      <c r="X543" s="55">
        <f t="shared" si="395"/>
        <v>0</v>
      </c>
      <c r="Y543" s="106">
        <f t="shared" si="395"/>
        <v>240</v>
      </c>
      <c r="Z543" s="46"/>
      <c r="AA543" s="81"/>
    </row>
    <row r="544" spans="1:27">
      <c r="A544" s="56"/>
      <c r="B544" s="57" t="s">
        <v>513</v>
      </c>
      <c r="C544" s="58">
        <v>908</v>
      </c>
      <c r="D544" s="83" t="s">
        <v>140</v>
      </c>
      <c r="E544" s="83" t="s">
        <v>503</v>
      </c>
      <c r="F544" s="58" t="s">
        <v>514</v>
      </c>
      <c r="G544" s="59"/>
      <c r="H544" s="55">
        <f t="shared" si="394"/>
        <v>210</v>
      </c>
      <c r="I544" s="55">
        <f t="shared" si="394"/>
        <v>0</v>
      </c>
      <c r="J544" s="73">
        <f t="shared" si="394"/>
        <v>210</v>
      </c>
      <c r="K544" s="55">
        <f t="shared" si="394"/>
        <v>0</v>
      </c>
      <c r="L544" s="55"/>
      <c r="M544" s="55"/>
      <c r="N544" s="55"/>
      <c r="O544" s="70">
        <f>O545</f>
        <v>850</v>
      </c>
      <c r="P544" s="55">
        <f t="shared" si="395"/>
        <v>0</v>
      </c>
      <c r="Q544" s="70">
        <f t="shared" si="395"/>
        <v>0</v>
      </c>
      <c r="R544" s="70">
        <f t="shared" si="395"/>
        <v>0</v>
      </c>
      <c r="S544" s="70">
        <f t="shared" si="395"/>
        <v>0</v>
      </c>
      <c r="T544" s="76">
        <f t="shared" si="395"/>
        <v>250</v>
      </c>
      <c r="U544" s="55">
        <f t="shared" si="395"/>
        <v>0</v>
      </c>
      <c r="V544" s="55">
        <f t="shared" si="395"/>
        <v>0</v>
      </c>
      <c r="W544" s="55">
        <f t="shared" si="395"/>
        <v>0</v>
      </c>
      <c r="X544" s="55">
        <f t="shared" si="395"/>
        <v>0</v>
      </c>
      <c r="Y544" s="106">
        <f t="shared" si="395"/>
        <v>240</v>
      </c>
      <c r="Z544" s="46"/>
      <c r="AA544" s="81"/>
    </row>
    <row r="545" spans="1:27" ht="23.25" customHeight="1">
      <c r="A545" s="56"/>
      <c r="B545" s="57" t="s">
        <v>36</v>
      </c>
      <c r="C545" s="58">
        <v>908</v>
      </c>
      <c r="D545" s="83" t="s">
        <v>140</v>
      </c>
      <c r="E545" s="83" t="s">
        <v>503</v>
      </c>
      <c r="F545" s="58" t="s">
        <v>514</v>
      </c>
      <c r="G545" s="59">
        <v>200</v>
      </c>
      <c r="H545" s="55">
        <v>210</v>
      </c>
      <c r="I545" s="55"/>
      <c r="J545" s="73">
        <v>210</v>
      </c>
      <c r="K545" s="70"/>
      <c r="L545" s="70"/>
      <c r="M545" s="70"/>
      <c r="N545" s="70"/>
      <c r="O545" s="70">
        <f>250+600</f>
        <v>850</v>
      </c>
      <c r="P545" s="55">
        <v>0</v>
      </c>
      <c r="Q545" s="70">
        <v>0</v>
      </c>
      <c r="R545" s="65"/>
      <c r="S545" s="65"/>
      <c r="T545" s="77">
        <v>250</v>
      </c>
      <c r="U545" s="55"/>
      <c r="V545" s="57"/>
      <c r="W545" s="57"/>
      <c r="X545" s="57"/>
      <c r="Y545" s="106">
        <v>240</v>
      </c>
      <c r="Z545" s="46"/>
      <c r="AA545" s="81"/>
    </row>
    <row r="546" spans="1:27" ht="37.5">
      <c r="A546" s="56"/>
      <c r="B546" s="57" t="s">
        <v>41</v>
      </c>
      <c r="C546" s="58">
        <v>908</v>
      </c>
      <c r="D546" s="83" t="s">
        <v>140</v>
      </c>
      <c r="E546" s="83" t="s">
        <v>503</v>
      </c>
      <c r="F546" s="58" t="s">
        <v>42</v>
      </c>
      <c r="G546" s="59"/>
      <c r="H546" s="55">
        <f>H548</f>
        <v>1100</v>
      </c>
      <c r="I546" s="55">
        <f>I548</f>
        <v>0</v>
      </c>
      <c r="J546" s="73">
        <f>J548</f>
        <v>3050</v>
      </c>
      <c r="K546" s="55">
        <f>K548</f>
        <v>0</v>
      </c>
      <c r="L546" s="55"/>
      <c r="M546" s="55"/>
      <c r="N546" s="55"/>
      <c r="O546" s="70">
        <f>O548</f>
        <v>10000</v>
      </c>
      <c r="P546" s="55">
        <f t="shared" ref="P546:X546" si="396">P548</f>
        <v>0</v>
      </c>
      <c r="Q546" s="70">
        <f t="shared" si="396"/>
        <v>0</v>
      </c>
      <c r="R546" s="70">
        <f t="shared" si="396"/>
        <v>0</v>
      </c>
      <c r="S546" s="70">
        <f t="shared" si="396"/>
        <v>0</v>
      </c>
      <c r="T546" s="76">
        <f t="shared" si="396"/>
        <v>1350</v>
      </c>
      <c r="U546" s="55">
        <f t="shared" si="396"/>
        <v>0</v>
      </c>
      <c r="V546" s="55">
        <f t="shared" si="396"/>
        <v>0</v>
      </c>
      <c r="W546" s="55">
        <f t="shared" si="396"/>
        <v>0</v>
      </c>
      <c r="X546" s="55">
        <f t="shared" si="396"/>
        <v>0</v>
      </c>
      <c r="Y546" s="106">
        <f>Y547</f>
        <v>142.6</v>
      </c>
      <c r="Z546" s="46"/>
      <c r="AA546" s="81"/>
    </row>
    <row r="547" spans="1:27" ht="27" customHeight="1">
      <c r="A547" s="56"/>
      <c r="B547" s="57" t="s">
        <v>515</v>
      </c>
      <c r="C547" s="58">
        <v>908</v>
      </c>
      <c r="D547" s="83" t="s">
        <v>140</v>
      </c>
      <c r="E547" s="83" t="s">
        <v>503</v>
      </c>
      <c r="F547" s="58" t="s">
        <v>516</v>
      </c>
      <c r="G547" s="59"/>
      <c r="H547" s="55"/>
      <c r="I547" s="55"/>
      <c r="J547" s="73"/>
      <c r="K547" s="55"/>
      <c r="L547" s="55"/>
      <c r="M547" s="55"/>
      <c r="N547" s="55"/>
      <c r="O547" s="70"/>
      <c r="P547" s="55"/>
      <c r="Q547" s="70"/>
      <c r="R547" s="70"/>
      <c r="S547" s="70"/>
      <c r="T547" s="76"/>
      <c r="U547" s="55"/>
      <c r="V547" s="55"/>
      <c r="W547" s="55"/>
      <c r="X547" s="55"/>
      <c r="Y547" s="106">
        <f>Y548</f>
        <v>142.6</v>
      </c>
      <c r="Z547" s="46"/>
      <c r="AA547" s="81"/>
    </row>
    <row r="548" spans="1:27" ht="37.5">
      <c r="A548" s="56"/>
      <c r="B548" s="57" t="s">
        <v>517</v>
      </c>
      <c r="C548" s="58">
        <v>908</v>
      </c>
      <c r="D548" s="83" t="s">
        <v>140</v>
      </c>
      <c r="E548" s="83" t="s">
        <v>503</v>
      </c>
      <c r="F548" s="58" t="s">
        <v>518</v>
      </c>
      <c r="G548" s="59"/>
      <c r="H548" s="55">
        <f>H549</f>
        <v>1100</v>
      </c>
      <c r="I548" s="55">
        <f>I549</f>
        <v>0</v>
      </c>
      <c r="J548" s="73">
        <f>J549</f>
        <v>3050</v>
      </c>
      <c r="K548" s="55">
        <f>K549</f>
        <v>0</v>
      </c>
      <c r="L548" s="55"/>
      <c r="M548" s="55"/>
      <c r="N548" s="55"/>
      <c r="O548" s="70">
        <f>O549</f>
        <v>10000</v>
      </c>
      <c r="P548" s="55">
        <f>P549</f>
        <v>0</v>
      </c>
      <c r="Q548" s="70">
        <f>Q549</f>
        <v>0</v>
      </c>
      <c r="R548" s="70">
        <f>R549</f>
        <v>0</v>
      </c>
      <c r="S548" s="70">
        <f>S549</f>
        <v>0</v>
      </c>
      <c r="T548" s="76">
        <f t="shared" ref="T548:Y548" si="397">T549+T550</f>
        <v>1350</v>
      </c>
      <c r="U548" s="55">
        <f t="shared" si="397"/>
        <v>0</v>
      </c>
      <c r="V548" s="55">
        <f t="shared" si="397"/>
        <v>0</v>
      </c>
      <c r="W548" s="55">
        <f t="shared" si="397"/>
        <v>0</v>
      </c>
      <c r="X548" s="55">
        <f t="shared" si="397"/>
        <v>0</v>
      </c>
      <c r="Y548" s="106">
        <f t="shared" si="397"/>
        <v>142.6</v>
      </c>
      <c r="Z548" s="46"/>
      <c r="AA548" s="81"/>
    </row>
    <row r="549" spans="1:27" ht="25.5" customHeight="1">
      <c r="A549" s="56"/>
      <c r="B549" s="57" t="s">
        <v>36</v>
      </c>
      <c r="C549" s="58">
        <v>908</v>
      </c>
      <c r="D549" s="83" t="s">
        <v>140</v>
      </c>
      <c r="E549" s="83" t="s">
        <v>503</v>
      </c>
      <c r="F549" s="58" t="s">
        <v>518</v>
      </c>
      <c r="G549" s="59">
        <v>200</v>
      </c>
      <c r="H549" s="55">
        <f>500+600</f>
        <v>1100</v>
      </c>
      <c r="I549" s="55"/>
      <c r="J549" s="73">
        <f>1850+1200</f>
        <v>3050</v>
      </c>
      <c r="K549" s="70"/>
      <c r="L549" s="70"/>
      <c r="M549" s="70"/>
      <c r="N549" s="70"/>
      <c r="O549" s="70">
        <v>10000</v>
      </c>
      <c r="P549" s="55">
        <v>0</v>
      </c>
      <c r="Q549" s="70">
        <v>0</v>
      </c>
      <c r="R549" s="70">
        <v>0</v>
      </c>
      <c r="S549" s="65"/>
      <c r="T549" s="77">
        <f>1000+350</f>
        <v>1350</v>
      </c>
      <c r="U549" s="78"/>
      <c r="V549" s="57"/>
      <c r="W549" s="57"/>
      <c r="X549" s="57"/>
      <c r="Y549" s="106">
        <v>142.6</v>
      </c>
      <c r="Z549" s="46"/>
      <c r="AA549" s="81"/>
    </row>
    <row r="550" spans="1:27" ht="37.5" hidden="1">
      <c r="A550" s="56"/>
      <c r="B550" s="57" t="s">
        <v>519</v>
      </c>
      <c r="C550" s="58">
        <v>908</v>
      </c>
      <c r="D550" s="83" t="s">
        <v>140</v>
      </c>
      <c r="E550" s="83" t="s">
        <v>503</v>
      </c>
      <c r="F550" s="58" t="s">
        <v>520</v>
      </c>
      <c r="G550" s="59"/>
      <c r="H550" s="55"/>
      <c r="I550" s="55"/>
      <c r="J550" s="73"/>
      <c r="K550" s="70"/>
      <c r="L550" s="70"/>
      <c r="M550" s="70"/>
      <c r="N550" s="70"/>
      <c r="O550" s="70"/>
      <c r="P550" s="55"/>
      <c r="Q550" s="70"/>
      <c r="R550" s="70"/>
      <c r="S550" s="65"/>
      <c r="T550" s="77">
        <f t="shared" ref="T550:Y550" si="398">T551</f>
        <v>0</v>
      </c>
      <c r="U550" s="57">
        <f t="shared" si="398"/>
        <v>0</v>
      </c>
      <c r="V550" s="57">
        <f t="shared" si="398"/>
        <v>0</v>
      </c>
      <c r="W550" s="57">
        <f t="shared" si="398"/>
        <v>0</v>
      </c>
      <c r="X550" s="55">
        <f t="shared" si="398"/>
        <v>0</v>
      </c>
      <c r="Y550" s="106">
        <f t="shared" si="398"/>
        <v>0</v>
      </c>
      <c r="Z550" s="46"/>
      <c r="AA550" s="81"/>
    </row>
    <row r="551" spans="1:27" ht="37.5" hidden="1">
      <c r="A551" s="56"/>
      <c r="B551" s="57" t="s">
        <v>36</v>
      </c>
      <c r="C551" s="58">
        <v>908</v>
      </c>
      <c r="D551" s="83" t="s">
        <v>140</v>
      </c>
      <c r="E551" s="83" t="s">
        <v>503</v>
      </c>
      <c r="F551" s="58" t="s">
        <v>520</v>
      </c>
      <c r="G551" s="59">
        <v>200</v>
      </c>
      <c r="H551" s="55"/>
      <c r="I551" s="55"/>
      <c r="J551" s="73"/>
      <c r="K551" s="70"/>
      <c r="L551" s="70"/>
      <c r="M551" s="70"/>
      <c r="N551" s="70"/>
      <c r="O551" s="70"/>
      <c r="P551" s="55"/>
      <c r="Q551" s="70"/>
      <c r="R551" s="70"/>
      <c r="S551" s="65"/>
      <c r="T551" s="77">
        <v>0</v>
      </c>
      <c r="U551" s="57"/>
      <c r="V551" s="57"/>
      <c r="W551" s="57"/>
      <c r="X551" s="55">
        <v>0</v>
      </c>
      <c r="Y551" s="106">
        <f>T551+U551+V551+W551+X551</f>
        <v>0</v>
      </c>
      <c r="Z551" s="46"/>
      <c r="AA551" s="81"/>
    </row>
    <row r="552" spans="1:27">
      <c r="A552" s="56"/>
      <c r="B552" s="57" t="s">
        <v>521</v>
      </c>
      <c r="C552" s="58">
        <v>908</v>
      </c>
      <c r="D552" s="83" t="s">
        <v>470</v>
      </c>
      <c r="E552" s="83"/>
      <c r="F552" s="58"/>
      <c r="G552" s="59"/>
      <c r="H552" s="55" t="e">
        <f>H553+H585</f>
        <v>#REF!</v>
      </c>
      <c r="I552" s="55" t="e">
        <f>I553+I585</f>
        <v>#REF!</v>
      </c>
      <c r="J552" s="73" t="e">
        <f>J553+J585+J574</f>
        <v>#REF!</v>
      </c>
      <c r="K552" s="55" t="e">
        <f>K553+K585+K574</f>
        <v>#REF!</v>
      </c>
      <c r="L552" s="55"/>
      <c r="M552" s="55"/>
      <c r="N552" s="55"/>
      <c r="O552" s="70">
        <f t="shared" ref="O552:Y552" si="399">O553+O585+O569</f>
        <v>1000</v>
      </c>
      <c r="P552" s="55">
        <f t="shared" si="399"/>
        <v>4699.5</v>
      </c>
      <c r="Q552" s="70" t="e">
        <f t="shared" si="399"/>
        <v>#REF!</v>
      </c>
      <c r="R552" s="70" t="e">
        <f t="shared" si="399"/>
        <v>#REF!</v>
      </c>
      <c r="S552" s="70" t="e">
        <f t="shared" si="399"/>
        <v>#REF!</v>
      </c>
      <c r="T552" s="76">
        <f t="shared" si="399"/>
        <v>2000</v>
      </c>
      <c r="U552" s="55">
        <f t="shared" si="399"/>
        <v>0</v>
      </c>
      <c r="V552" s="55">
        <f t="shared" si="399"/>
        <v>0</v>
      </c>
      <c r="W552" s="55">
        <f t="shared" si="399"/>
        <v>0</v>
      </c>
      <c r="X552" s="55">
        <f t="shared" si="399"/>
        <v>37538.599999999991</v>
      </c>
      <c r="Y552" s="106">
        <f t="shared" si="399"/>
        <v>42976.966119999997</v>
      </c>
      <c r="Z552" s="46"/>
      <c r="AA552" s="81"/>
    </row>
    <row r="553" spans="1:27">
      <c r="A553" s="56"/>
      <c r="B553" s="57" t="s">
        <v>522</v>
      </c>
      <c r="C553" s="58">
        <v>908</v>
      </c>
      <c r="D553" s="83" t="s">
        <v>470</v>
      </c>
      <c r="E553" s="83" t="s">
        <v>23</v>
      </c>
      <c r="F553" s="58"/>
      <c r="G553" s="59"/>
      <c r="H553" s="55">
        <f t="shared" ref="H553:K554" si="400">H554</f>
        <v>1000</v>
      </c>
      <c r="I553" s="55">
        <f t="shared" si="400"/>
        <v>0</v>
      </c>
      <c r="J553" s="73">
        <f t="shared" si="400"/>
        <v>1000</v>
      </c>
      <c r="K553" s="55">
        <f t="shared" si="400"/>
        <v>0</v>
      </c>
      <c r="L553" s="55"/>
      <c r="M553" s="55"/>
      <c r="N553" s="55"/>
      <c r="O553" s="70">
        <f>O554</f>
        <v>1000</v>
      </c>
      <c r="P553" s="55">
        <f>P554</f>
        <v>0</v>
      </c>
      <c r="Q553" s="70">
        <f>Q554</f>
        <v>0</v>
      </c>
      <c r="R553" s="70">
        <f>R554</f>
        <v>0</v>
      </c>
      <c r="S553" s="70">
        <f>S554</f>
        <v>0</v>
      </c>
      <c r="T553" s="76">
        <f t="shared" ref="T553:Y553" si="401">T554+T558</f>
        <v>2000</v>
      </c>
      <c r="U553" s="55">
        <f t="shared" si="401"/>
        <v>0</v>
      </c>
      <c r="V553" s="55">
        <f t="shared" si="401"/>
        <v>0</v>
      </c>
      <c r="W553" s="55">
        <f t="shared" si="401"/>
        <v>0</v>
      </c>
      <c r="X553" s="55">
        <f t="shared" si="401"/>
        <v>0</v>
      </c>
      <c r="Y553" s="106">
        <f t="shared" si="401"/>
        <v>1312.5299600000001</v>
      </c>
      <c r="Z553" s="46"/>
      <c r="AA553" s="81"/>
    </row>
    <row r="554" spans="1:27" ht="44.25" customHeight="1">
      <c r="A554" s="56"/>
      <c r="B554" s="57" t="s">
        <v>523</v>
      </c>
      <c r="C554" s="58">
        <v>908</v>
      </c>
      <c r="D554" s="83" t="s">
        <v>470</v>
      </c>
      <c r="E554" s="83" t="s">
        <v>23</v>
      </c>
      <c r="F554" s="58" t="s">
        <v>524</v>
      </c>
      <c r="G554" s="59"/>
      <c r="H554" s="55">
        <f t="shared" si="400"/>
        <v>1000</v>
      </c>
      <c r="I554" s="55">
        <f t="shared" si="400"/>
        <v>0</v>
      </c>
      <c r="J554" s="73">
        <f t="shared" si="400"/>
        <v>1000</v>
      </c>
      <c r="K554" s="55">
        <f t="shared" si="400"/>
        <v>0</v>
      </c>
      <c r="L554" s="55"/>
      <c r="M554" s="55"/>
      <c r="N554" s="55"/>
      <c r="O554" s="70">
        <f t="shared" ref="O554:Y554" si="402">O555</f>
        <v>1000</v>
      </c>
      <c r="P554" s="55">
        <f t="shared" si="402"/>
        <v>0</v>
      </c>
      <c r="Q554" s="70">
        <f t="shared" si="402"/>
        <v>0</v>
      </c>
      <c r="R554" s="70">
        <f t="shared" si="402"/>
        <v>0</v>
      </c>
      <c r="S554" s="70">
        <f t="shared" si="402"/>
        <v>0</v>
      </c>
      <c r="T554" s="76">
        <f t="shared" si="402"/>
        <v>1000</v>
      </c>
      <c r="U554" s="55">
        <f t="shared" si="402"/>
        <v>0</v>
      </c>
      <c r="V554" s="55">
        <f t="shared" si="402"/>
        <v>0</v>
      </c>
      <c r="W554" s="55">
        <f t="shared" si="402"/>
        <v>0</v>
      </c>
      <c r="X554" s="55">
        <f t="shared" si="402"/>
        <v>0</v>
      </c>
      <c r="Y554" s="106">
        <f t="shared" si="402"/>
        <v>1000</v>
      </c>
      <c r="Z554" s="46"/>
      <c r="AA554" s="81"/>
    </row>
    <row r="555" spans="1:27" ht="37.5">
      <c r="A555" s="56"/>
      <c r="B555" s="57" t="s">
        <v>525</v>
      </c>
      <c r="C555" s="58">
        <v>908</v>
      </c>
      <c r="D555" s="83" t="s">
        <v>470</v>
      </c>
      <c r="E555" s="83" t="s">
        <v>23</v>
      </c>
      <c r="F555" s="58" t="s">
        <v>526</v>
      </c>
      <c r="G555" s="59"/>
      <c r="H555" s="55">
        <f>H557</f>
        <v>1000</v>
      </c>
      <c r="I555" s="55">
        <f>I557</f>
        <v>0</v>
      </c>
      <c r="J555" s="73">
        <f>J557</f>
        <v>1000</v>
      </c>
      <c r="K555" s="55">
        <f>K557</f>
        <v>0</v>
      </c>
      <c r="L555" s="55"/>
      <c r="M555" s="55"/>
      <c r="N555" s="55"/>
      <c r="O555" s="70">
        <f t="shared" ref="O555:X555" si="403">O557</f>
        <v>1000</v>
      </c>
      <c r="P555" s="55">
        <f t="shared" si="403"/>
        <v>0</v>
      </c>
      <c r="Q555" s="70">
        <f t="shared" si="403"/>
        <v>0</v>
      </c>
      <c r="R555" s="70">
        <f t="shared" si="403"/>
        <v>0</v>
      </c>
      <c r="S555" s="70">
        <f t="shared" si="403"/>
        <v>0</v>
      </c>
      <c r="T555" s="76">
        <f t="shared" si="403"/>
        <v>1000</v>
      </c>
      <c r="U555" s="55">
        <f t="shared" si="403"/>
        <v>0</v>
      </c>
      <c r="V555" s="55">
        <f t="shared" si="403"/>
        <v>0</v>
      </c>
      <c r="W555" s="55">
        <f t="shared" si="403"/>
        <v>0</v>
      </c>
      <c r="X555" s="55">
        <f t="shared" si="403"/>
        <v>0</v>
      </c>
      <c r="Y555" s="106">
        <f>Y556</f>
        <v>1000</v>
      </c>
      <c r="Z555" s="46"/>
      <c r="AA555" s="81"/>
    </row>
    <row r="556" spans="1:27" ht="37.5">
      <c r="A556" s="56"/>
      <c r="B556" s="57" t="s">
        <v>527</v>
      </c>
      <c r="C556" s="58">
        <v>908</v>
      </c>
      <c r="D556" s="83" t="s">
        <v>470</v>
      </c>
      <c r="E556" s="83" t="s">
        <v>23</v>
      </c>
      <c r="F556" s="58" t="s">
        <v>528</v>
      </c>
      <c r="G556" s="59"/>
      <c r="H556" s="55"/>
      <c r="I556" s="55"/>
      <c r="J556" s="73"/>
      <c r="K556" s="55"/>
      <c r="L556" s="55"/>
      <c r="M556" s="55"/>
      <c r="N556" s="55"/>
      <c r="O556" s="70"/>
      <c r="P556" s="55"/>
      <c r="Q556" s="70"/>
      <c r="R556" s="70"/>
      <c r="S556" s="70"/>
      <c r="T556" s="77"/>
      <c r="U556" s="55"/>
      <c r="V556" s="55"/>
      <c r="W556" s="55"/>
      <c r="X556" s="55"/>
      <c r="Y556" s="106">
        <f>Y557</f>
        <v>1000</v>
      </c>
      <c r="Z556" s="46"/>
      <c r="AA556" s="81"/>
    </row>
    <row r="557" spans="1:27" ht="37.5" customHeight="1">
      <c r="A557" s="56"/>
      <c r="B557" s="57" t="s">
        <v>56</v>
      </c>
      <c r="C557" s="58">
        <v>908</v>
      </c>
      <c r="D557" s="83" t="s">
        <v>470</v>
      </c>
      <c r="E557" s="83" t="s">
        <v>23</v>
      </c>
      <c r="F557" s="58" t="s">
        <v>528</v>
      </c>
      <c r="G557" s="59">
        <v>600</v>
      </c>
      <c r="H557" s="55">
        <v>1000</v>
      </c>
      <c r="I557" s="55"/>
      <c r="J557" s="73">
        <v>1000</v>
      </c>
      <c r="K557" s="70"/>
      <c r="L557" s="70"/>
      <c r="M557" s="70"/>
      <c r="N557" s="70"/>
      <c r="O557" s="70">
        <v>1000</v>
      </c>
      <c r="P557" s="55"/>
      <c r="Q557" s="65"/>
      <c r="R557" s="65"/>
      <c r="S557" s="65"/>
      <c r="T557" s="77">
        <v>1000</v>
      </c>
      <c r="U557" s="57"/>
      <c r="V557" s="57"/>
      <c r="W557" s="57"/>
      <c r="X557" s="57"/>
      <c r="Y557" s="106">
        <f>T557+U557+V557+W557+X557</f>
        <v>1000</v>
      </c>
      <c r="Z557" s="46"/>
      <c r="AA557" s="81"/>
    </row>
    <row r="558" spans="1:27" ht="39.75" customHeight="1">
      <c r="A558" s="56"/>
      <c r="B558" s="57" t="s">
        <v>529</v>
      </c>
      <c r="C558" s="58">
        <v>908</v>
      </c>
      <c r="D558" s="83" t="s">
        <v>470</v>
      </c>
      <c r="E558" s="83" t="s">
        <v>23</v>
      </c>
      <c r="F558" s="58" t="s">
        <v>530</v>
      </c>
      <c r="G558" s="59"/>
      <c r="H558" s="55"/>
      <c r="I558" s="55"/>
      <c r="J558" s="73"/>
      <c r="K558" s="70"/>
      <c r="L558" s="70"/>
      <c r="M558" s="70"/>
      <c r="N558" s="70"/>
      <c r="O558" s="70"/>
      <c r="P558" s="55"/>
      <c r="Q558" s="65"/>
      <c r="R558" s="65"/>
      <c r="S558" s="65"/>
      <c r="T558" s="77">
        <f>T559</f>
        <v>1000</v>
      </c>
      <c r="U558" s="57">
        <f>U559</f>
        <v>0</v>
      </c>
      <c r="V558" s="57">
        <f>V559</f>
        <v>0</v>
      </c>
      <c r="W558" s="57">
        <f>W559</f>
        <v>0</v>
      </c>
      <c r="X558" s="55">
        <f>X559</f>
        <v>0</v>
      </c>
      <c r="Y558" s="106">
        <f>+Y559</f>
        <v>312.52996000000002</v>
      </c>
      <c r="Z558" s="46"/>
      <c r="AA558" s="81"/>
    </row>
    <row r="559" spans="1:27" ht="22.5" customHeight="1">
      <c r="A559" s="56"/>
      <c r="B559" s="57" t="s">
        <v>531</v>
      </c>
      <c r="C559" s="58">
        <v>908</v>
      </c>
      <c r="D559" s="83" t="s">
        <v>470</v>
      </c>
      <c r="E559" s="83" t="s">
        <v>23</v>
      </c>
      <c r="F559" s="58" t="s">
        <v>532</v>
      </c>
      <c r="G559" s="59"/>
      <c r="H559" s="55"/>
      <c r="I559" s="55"/>
      <c r="J559" s="73"/>
      <c r="K559" s="70"/>
      <c r="L559" s="70"/>
      <c r="M559" s="70"/>
      <c r="N559" s="70"/>
      <c r="O559" s="70"/>
      <c r="P559" s="55"/>
      <c r="Q559" s="65"/>
      <c r="R559" s="65"/>
      <c r="S559" s="65"/>
      <c r="T559" s="77">
        <f t="shared" ref="T559:Y559" si="404">T560+T562+T567+T564</f>
        <v>1000</v>
      </c>
      <c r="U559" s="57">
        <f t="shared" si="404"/>
        <v>0</v>
      </c>
      <c r="V559" s="57">
        <f t="shared" si="404"/>
        <v>0</v>
      </c>
      <c r="W559" s="57">
        <f t="shared" si="404"/>
        <v>0</v>
      </c>
      <c r="X559" s="55">
        <f t="shared" si="404"/>
        <v>0</v>
      </c>
      <c r="Y559" s="106">
        <f t="shared" si="404"/>
        <v>312.52996000000002</v>
      </c>
      <c r="Z559" s="46"/>
      <c r="AA559" s="81"/>
    </row>
    <row r="560" spans="1:27" ht="0.95" customHeight="1">
      <c r="A560" s="56"/>
      <c r="B560" s="57" t="s">
        <v>533</v>
      </c>
      <c r="C560" s="58">
        <v>908</v>
      </c>
      <c r="D560" s="83" t="s">
        <v>470</v>
      </c>
      <c r="E560" s="83" t="s">
        <v>23</v>
      </c>
      <c r="F560" s="58" t="s">
        <v>534</v>
      </c>
      <c r="G560" s="59"/>
      <c r="H560" s="55"/>
      <c r="I560" s="55"/>
      <c r="J560" s="73"/>
      <c r="K560" s="70"/>
      <c r="L560" s="70"/>
      <c r="M560" s="70"/>
      <c r="N560" s="70"/>
      <c r="O560" s="70"/>
      <c r="P560" s="55"/>
      <c r="Q560" s="65"/>
      <c r="R560" s="65"/>
      <c r="S560" s="65"/>
      <c r="T560" s="77">
        <f t="shared" ref="T560:Y560" si="405">T561</f>
        <v>0</v>
      </c>
      <c r="U560" s="57">
        <f t="shared" si="405"/>
        <v>0</v>
      </c>
      <c r="V560" s="57">
        <f t="shared" si="405"/>
        <v>0</v>
      </c>
      <c r="W560" s="57">
        <f t="shared" si="405"/>
        <v>0</v>
      </c>
      <c r="X560" s="55">
        <f t="shared" si="405"/>
        <v>0</v>
      </c>
      <c r="Y560" s="106">
        <f t="shared" si="405"/>
        <v>0</v>
      </c>
      <c r="Z560" s="46"/>
      <c r="AA560" s="81"/>
    </row>
    <row r="561" spans="1:27" ht="45.75" hidden="1" customHeight="1">
      <c r="A561" s="56"/>
      <c r="B561" s="57" t="s">
        <v>535</v>
      </c>
      <c r="C561" s="58">
        <v>908</v>
      </c>
      <c r="D561" s="83" t="s">
        <v>470</v>
      </c>
      <c r="E561" s="83" t="s">
        <v>23</v>
      </c>
      <c r="F561" s="58" t="s">
        <v>534</v>
      </c>
      <c r="G561" s="59">
        <v>400</v>
      </c>
      <c r="H561" s="55"/>
      <c r="I561" s="55"/>
      <c r="J561" s="73"/>
      <c r="K561" s="70"/>
      <c r="L561" s="70"/>
      <c r="M561" s="70"/>
      <c r="N561" s="70"/>
      <c r="O561" s="70"/>
      <c r="P561" s="55"/>
      <c r="Q561" s="65"/>
      <c r="R561" s="65"/>
      <c r="S561" s="65"/>
      <c r="T561" s="77"/>
      <c r="U561" s="57"/>
      <c r="V561" s="57"/>
      <c r="W561" s="57"/>
      <c r="X561" s="55"/>
      <c r="Y561" s="106">
        <f>T561+U561+V561+W561+X561</f>
        <v>0</v>
      </c>
      <c r="Z561" s="46"/>
      <c r="AA561" s="81"/>
    </row>
    <row r="562" spans="1:27" ht="81" hidden="1" customHeight="1">
      <c r="A562" s="56"/>
      <c r="B562" s="57" t="s">
        <v>536</v>
      </c>
      <c r="C562" s="58">
        <v>908</v>
      </c>
      <c r="D562" s="83" t="s">
        <v>470</v>
      </c>
      <c r="E562" s="83" t="s">
        <v>23</v>
      </c>
      <c r="F562" s="58" t="s">
        <v>537</v>
      </c>
      <c r="G562" s="59"/>
      <c r="H562" s="55"/>
      <c r="I562" s="55"/>
      <c r="J562" s="73"/>
      <c r="K562" s="70"/>
      <c r="L562" s="70"/>
      <c r="M562" s="70"/>
      <c r="N562" s="70"/>
      <c r="O562" s="70"/>
      <c r="P562" s="55"/>
      <c r="Q562" s="65"/>
      <c r="R562" s="65"/>
      <c r="S562" s="65"/>
      <c r="T562" s="77">
        <f t="shared" ref="T562:Y562" si="406">T563</f>
        <v>0</v>
      </c>
      <c r="U562" s="57">
        <f t="shared" si="406"/>
        <v>0</v>
      </c>
      <c r="V562" s="57">
        <f t="shared" si="406"/>
        <v>0</v>
      </c>
      <c r="W562" s="57">
        <f t="shared" si="406"/>
        <v>0</v>
      </c>
      <c r="X562" s="55">
        <f t="shared" si="406"/>
        <v>0</v>
      </c>
      <c r="Y562" s="106">
        <f t="shared" si="406"/>
        <v>0</v>
      </c>
      <c r="Z562" s="46"/>
      <c r="AA562" s="81"/>
    </row>
    <row r="563" spans="1:27" ht="45.75" hidden="1" customHeight="1">
      <c r="A563" s="56"/>
      <c r="B563" s="57" t="s">
        <v>535</v>
      </c>
      <c r="C563" s="58">
        <v>908</v>
      </c>
      <c r="D563" s="83" t="s">
        <v>470</v>
      </c>
      <c r="E563" s="83" t="s">
        <v>23</v>
      </c>
      <c r="F563" s="58" t="s">
        <v>537</v>
      </c>
      <c r="G563" s="59">
        <v>400</v>
      </c>
      <c r="H563" s="55"/>
      <c r="I563" s="55"/>
      <c r="J563" s="73"/>
      <c r="K563" s="70"/>
      <c r="L563" s="70"/>
      <c r="M563" s="70"/>
      <c r="N563" s="70"/>
      <c r="O563" s="70"/>
      <c r="P563" s="55"/>
      <c r="Q563" s="65"/>
      <c r="R563" s="65"/>
      <c r="S563" s="65"/>
      <c r="T563" s="77"/>
      <c r="U563" s="57"/>
      <c r="V563" s="57"/>
      <c r="W563" s="57"/>
      <c r="X563" s="55"/>
      <c r="Y563" s="106">
        <f>T563+U563+V563+W563+X563</f>
        <v>0</v>
      </c>
      <c r="Z563" s="46"/>
      <c r="AA563" s="81"/>
    </row>
    <row r="564" spans="1:27" ht="41.25" customHeight="1">
      <c r="A564" s="56"/>
      <c r="B564" s="57" t="s">
        <v>538</v>
      </c>
      <c r="C564" s="58">
        <v>908</v>
      </c>
      <c r="D564" s="83" t="s">
        <v>470</v>
      </c>
      <c r="E564" s="83" t="s">
        <v>23</v>
      </c>
      <c r="F564" s="58" t="s">
        <v>539</v>
      </c>
      <c r="G564" s="59"/>
      <c r="H564" s="55"/>
      <c r="I564" s="55"/>
      <c r="J564" s="73"/>
      <c r="K564" s="70"/>
      <c r="L564" s="70"/>
      <c r="M564" s="70"/>
      <c r="N564" s="70"/>
      <c r="O564" s="70"/>
      <c r="P564" s="55"/>
      <c r="Q564" s="65"/>
      <c r="R564" s="65"/>
      <c r="S564" s="65"/>
      <c r="T564" s="77">
        <f t="shared" ref="T564:X564" si="407">T566</f>
        <v>1000</v>
      </c>
      <c r="U564" s="57">
        <f t="shared" si="407"/>
        <v>0</v>
      </c>
      <c r="V564" s="57">
        <f t="shared" si="407"/>
        <v>0</v>
      </c>
      <c r="W564" s="57">
        <f t="shared" si="407"/>
        <v>0</v>
      </c>
      <c r="X564" s="55">
        <f t="shared" si="407"/>
        <v>0</v>
      </c>
      <c r="Y564" s="106">
        <f>Y566+Y565</f>
        <v>312.52996000000002</v>
      </c>
      <c r="Z564" s="46"/>
      <c r="AA564" s="81"/>
    </row>
    <row r="565" spans="1:27" ht="22.5" customHeight="1">
      <c r="A565" s="56"/>
      <c r="B565" s="57" t="s">
        <v>36</v>
      </c>
      <c r="C565" s="58">
        <v>908</v>
      </c>
      <c r="D565" s="83" t="s">
        <v>470</v>
      </c>
      <c r="E565" s="83" t="s">
        <v>23</v>
      </c>
      <c r="F565" s="58" t="s">
        <v>539</v>
      </c>
      <c r="G565" s="59">
        <v>200</v>
      </c>
      <c r="H565" s="55"/>
      <c r="I565" s="55"/>
      <c r="J565" s="73"/>
      <c r="K565" s="70"/>
      <c r="L565" s="70"/>
      <c r="M565" s="70"/>
      <c r="N565" s="70"/>
      <c r="O565" s="70"/>
      <c r="P565" s="55"/>
      <c r="Q565" s="65"/>
      <c r="R565" s="65"/>
      <c r="S565" s="65"/>
      <c r="T565" s="77"/>
      <c r="U565" s="57"/>
      <c r="V565" s="57"/>
      <c r="W565" s="57"/>
      <c r="X565" s="55"/>
      <c r="Y565" s="106">
        <v>312.52996000000002</v>
      </c>
      <c r="Z565" s="46"/>
      <c r="AA565" s="81"/>
    </row>
    <row r="566" spans="1:27" ht="42" hidden="1" customHeight="1">
      <c r="A566" s="56"/>
      <c r="B566" s="57" t="s">
        <v>535</v>
      </c>
      <c r="C566" s="58">
        <v>908</v>
      </c>
      <c r="D566" s="83" t="s">
        <v>470</v>
      </c>
      <c r="E566" s="83" t="s">
        <v>23</v>
      </c>
      <c r="F566" s="58" t="s">
        <v>539</v>
      </c>
      <c r="G566" s="59">
        <v>400</v>
      </c>
      <c r="H566" s="55"/>
      <c r="I566" s="55"/>
      <c r="J566" s="73"/>
      <c r="K566" s="70"/>
      <c r="L566" s="70"/>
      <c r="M566" s="70"/>
      <c r="N566" s="70"/>
      <c r="O566" s="70"/>
      <c r="P566" s="55"/>
      <c r="Q566" s="65"/>
      <c r="R566" s="65"/>
      <c r="S566" s="65"/>
      <c r="T566" s="77">
        <v>1000</v>
      </c>
      <c r="U566" s="57"/>
      <c r="V566" s="57">
        <v>0</v>
      </c>
      <c r="W566" s="57"/>
      <c r="X566" s="55"/>
      <c r="Y566" s="106">
        <v>0</v>
      </c>
      <c r="Z566" s="46"/>
      <c r="AA566" s="81"/>
    </row>
    <row r="567" spans="1:27" ht="57.75" hidden="1" customHeight="1">
      <c r="A567" s="56"/>
      <c r="B567" s="57" t="s">
        <v>540</v>
      </c>
      <c r="C567" s="58">
        <v>908</v>
      </c>
      <c r="D567" s="83" t="s">
        <v>470</v>
      </c>
      <c r="E567" s="83" t="s">
        <v>23</v>
      </c>
      <c r="F567" s="58" t="s">
        <v>541</v>
      </c>
      <c r="G567" s="59"/>
      <c r="H567" s="55"/>
      <c r="I567" s="55"/>
      <c r="J567" s="73"/>
      <c r="K567" s="70"/>
      <c r="L567" s="70"/>
      <c r="M567" s="70"/>
      <c r="N567" s="70"/>
      <c r="O567" s="70"/>
      <c r="P567" s="55"/>
      <c r="Q567" s="65"/>
      <c r="R567" s="65"/>
      <c r="S567" s="65"/>
      <c r="T567" s="77">
        <f t="shared" ref="T567:Y567" si="408">T568</f>
        <v>0</v>
      </c>
      <c r="U567" s="57">
        <f t="shared" si="408"/>
        <v>0</v>
      </c>
      <c r="V567" s="57">
        <f t="shared" si="408"/>
        <v>0</v>
      </c>
      <c r="W567" s="57">
        <f t="shared" si="408"/>
        <v>0</v>
      </c>
      <c r="X567" s="55">
        <f t="shared" si="408"/>
        <v>0</v>
      </c>
      <c r="Y567" s="106">
        <f t="shared" si="408"/>
        <v>0</v>
      </c>
      <c r="Z567" s="46"/>
      <c r="AA567" s="81"/>
    </row>
    <row r="568" spans="1:27" ht="45.75" hidden="1" customHeight="1">
      <c r="A568" s="56"/>
      <c r="B568" s="57" t="s">
        <v>535</v>
      </c>
      <c r="C568" s="58">
        <v>908</v>
      </c>
      <c r="D568" s="83" t="s">
        <v>470</v>
      </c>
      <c r="E568" s="83" t="s">
        <v>23</v>
      </c>
      <c r="F568" s="58" t="s">
        <v>541</v>
      </c>
      <c r="G568" s="59">
        <v>400</v>
      </c>
      <c r="H568" s="55"/>
      <c r="I568" s="55"/>
      <c r="J568" s="73"/>
      <c r="K568" s="70"/>
      <c r="L568" s="70"/>
      <c r="M568" s="70"/>
      <c r="N568" s="70"/>
      <c r="O568" s="70"/>
      <c r="P568" s="55"/>
      <c r="Q568" s="65"/>
      <c r="R568" s="65"/>
      <c r="S568" s="65"/>
      <c r="T568" s="77"/>
      <c r="U568" s="57"/>
      <c r="V568" s="57"/>
      <c r="W568" s="57"/>
      <c r="X568" s="55">
        <f>2999.4084-2999.4084</f>
        <v>0</v>
      </c>
      <c r="Y568" s="106">
        <f>T568+U568+V568+W568+X568</f>
        <v>0</v>
      </c>
      <c r="Z568" s="46"/>
      <c r="AA568" s="81"/>
    </row>
    <row r="569" spans="1:27" ht="18.75" customHeight="1">
      <c r="A569" s="56"/>
      <c r="B569" s="57" t="s">
        <v>542</v>
      </c>
      <c r="C569" s="58">
        <v>908</v>
      </c>
      <c r="D569" s="83" t="s">
        <v>470</v>
      </c>
      <c r="E569" s="83" t="s">
        <v>193</v>
      </c>
      <c r="F569" s="58"/>
      <c r="G569" s="59"/>
      <c r="H569" s="55"/>
      <c r="I569" s="55"/>
      <c r="J569" s="73"/>
      <c r="K569" s="70"/>
      <c r="L569" s="70"/>
      <c r="M569" s="70"/>
      <c r="N569" s="70"/>
      <c r="O569" s="70">
        <f t="shared" ref="O569:S569" si="409">O570+O578+O574</f>
        <v>0</v>
      </c>
      <c r="P569" s="70">
        <f t="shared" si="409"/>
        <v>0</v>
      </c>
      <c r="Q569" s="70">
        <f t="shared" si="409"/>
        <v>0</v>
      </c>
      <c r="R569" s="70">
        <f t="shared" si="409"/>
        <v>0</v>
      </c>
      <c r="S569" s="70">
        <f t="shared" si="409"/>
        <v>0</v>
      </c>
      <c r="T569" s="76">
        <f t="shared" ref="T569:Y569" si="410">T570+T578+T574+T581</f>
        <v>0</v>
      </c>
      <c r="U569" s="76">
        <f t="shared" si="410"/>
        <v>0</v>
      </c>
      <c r="V569" s="76">
        <f t="shared" si="410"/>
        <v>0</v>
      </c>
      <c r="W569" s="76">
        <f t="shared" si="410"/>
        <v>0</v>
      </c>
      <c r="X569" s="76">
        <f t="shared" si="410"/>
        <v>36417.899999999994</v>
      </c>
      <c r="Y569" s="106">
        <f t="shared" si="410"/>
        <v>39963.73616</v>
      </c>
      <c r="Z569" s="46"/>
      <c r="AA569" s="81"/>
    </row>
    <row r="570" spans="1:27" ht="44.25" customHeight="1">
      <c r="A570" s="56"/>
      <c r="B570" s="62" t="s">
        <v>131</v>
      </c>
      <c r="C570" s="58">
        <v>908</v>
      </c>
      <c r="D570" s="83" t="s">
        <v>470</v>
      </c>
      <c r="E570" s="83" t="s">
        <v>193</v>
      </c>
      <c r="F570" s="58" t="s">
        <v>132</v>
      </c>
      <c r="G570" s="59"/>
      <c r="H570" s="55"/>
      <c r="I570" s="55"/>
      <c r="J570" s="73"/>
      <c r="K570" s="70"/>
      <c r="L570" s="70"/>
      <c r="M570" s="70"/>
      <c r="N570" s="70"/>
      <c r="O570" s="70">
        <f t="shared" ref="O570:T570" si="411">O572</f>
        <v>0</v>
      </c>
      <c r="P570" s="55">
        <f t="shared" si="411"/>
        <v>0</v>
      </c>
      <c r="Q570" s="70">
        <f t="shared" si="411"/>
        <v>0</v>
      </c>
      <c r="R570" s="70">
        <f t="shared" si="411"/>
        <v>0</v>
      </c>
      <c r="S570" s="70">
        <f t="shared" si="411"/>
        <v>0</v>
      </c>
      <c r="T570" s="76">
        <f t="shared" si="411"/>
        <v>0</v>
      </c>
      <c r="U570" s="57"/>
      <c r="V570" s="57"/>
      <c r="W570" s="57"/>
      <c r="X570" s="84">
        <f>X572</f>
        <v>5500</v>
      </c>
      <c r="Y570" s="106">
        <f>Y571</f>
        <v>5500</v>
      </c>
      <c r="Z570" s="46"/>
      <c r="AA570" s="81"/>
    </row>
    <row r="571" spans="1:27" ht="45.75" customHeight="1">
      <c r="A571" s="56"/>
      <c r="B571" s="62" t="s">
        <v>543</v>
      </c>
      <c r="C571" s="58">
        <v>908</v>
      </c>
      <c r="D571" s="83" t="s">
        <v>470</v>
      </c>
      <c r="E571" s="83" t="s">
        <v>193</v>
      </c>
      <c r="F571" s="58" t="s">
        <v>544</v>
      </c>
      <c r="G571" s="59"/>
      <c r="H571" s="55"/>
      <c r="I571" s="55"/>
      <c r="J571" s="73"/>
      <c r="K571" s="70"/>
      <c r="L571" s="70"/>
      <c r="M571" s="70"/>
      <c r="N571" s="70"/>
      <c r="O571" s="70"/>
      <c r="P571" s="55"/>
      <c r="Q571" s="70"/>
      <c r="R571" s="70"/>
      <c r="S571" s="70"/>
      <c r="T571" s="76"/>
      <c r="U571" s="57"/>
      <c r="V571" s="57"/>
      <c r="W571" s="57"/>
      <c r="X571" s="84"/>
      <c r="Y571" s="106">
        <f>Y572</f>
        <v>5500</v>
      </c>
      <c r="Z571" s="46"/>
      <c r="AA571" s="81"/>
    </row>
    <row r="572" spans="1:27" ht="38.25" customHeight="1">
      <c r="A572" s="56"/>
      <c r="B572" s="57" t="s">
        <v>545</v>
      </c>
      <c r="C572" s="58">
        <v>908</v>
      </c>
      <c r="D572" s="83" t="s">
        <v>470</v>
      </c>
      <c r="E572" s="83" t="s">
        <v>193</v>
      </c>
      <c r="F572" s="58" t="s">
        <v>546</v>
      </c>
      <c r="G572" s="59"/>
      <c r="H572" s="55"/>
      <c r="I572" s="55"/>
      <c r="J572" s="73"/>
      <c r="K572" s="70"/>
      <c r="L572" s="70"/>
      <c r="M572" s="70"/>
      <c r="N572" s="70"/>
      <c r="O572" s="70">
        <f t="shared" ref="O572:T572" si="412">O573</f>
        <v>0</v>
      </c>
      <c r="P572" s="55">
        <f t="shared" si="412"/>
        <v>0</v>
      </c>
      <c r="Q572" s="70">
        <f t="shared" si="412"/>
        <v>0</v>
      </c>
      <c r="R572" s="70">
        <f t="shared" si="412"/>
        <v>0</v>
      </c>
      <c r="S572" s="70">
        <f t="shared" si="412"/>
        <v>0</v>
      </c>
      <c r="T572" s="76">
        <f t="shared" si="412"/>
        <v>0</v>
      </c>
      <c r="U572" s="57"/>
      <c r="V572" s="57"/>
      <c r="W572" s="57"/>
      <c r="X572" s="84">
        <f>X573</f>
        <v>5500</v>
      </c>
      <c r="Y572" s="106">
        <f>Y573</f>
        <v>5500</v>
      </c>
      <c r="Z572" s="46"/>
      <c r="AA572" s="81"/>
    </row>
    <row r="573" spans="1:27" ht="21" customHeight="1">
      <c r="A573" s="56"/>
      <c r="B573" s="57" t="s">
        <v>179</v>
      </c>
      <c r="C573" s="58">
        <v>908</v>
      </c>
      <c r="D573" s="83" t="s">
        <v>470</v>
      </c>
      <c r="E573" s="83" t="s">
        <v>193</v>
      </c>
      <c r="F573" s="58" t="s">
        <v>546</v>
      </c>
      <c r="G573" s="59">
        <v>500</v>
      </c>
      <c r="H573" s="55"/>
      <c r="I573" s="55"/>
      <c r="J573" s="73"/>
      <c r="K573" s="70"/>
      <c r="L573" s="70"/>
      <c r="M573" s="70"/>
      <c r="N573" s="70"/>
      <c r="O573" s="70"/>
      <c r="P573" s="55"/>
      <c r="Q573" s="65"/>
      <c r="R573" s="65"/>
      <c r="S573" s="70">
        <v>0</v>
      </c>
      <c r="T573" s="77">
        <f>O573+P573+Q573+R573+S573</f>
        <v>0</v>
      </c>
      <c r="U573" s="57"/>
      <c r="V573" s="57"/>
      <c r="W573" s="57"/>
      <c r="X573" s="84">
        <v>5500</v>
      </c>
      <c r="Y573" s="106">
        <f>T573+X573</f>
        <v>5500</v>
      </c>
      <c r="Z573" s="46"/>
      <c r="AA573" s="81"/>
    </row>
    <row r="574" spans="1:27" ht="57" hidden="1" customHeight="1">
      <c r="A574" s="56"/>
      <c r="B574" s="57" t="s">
        <v>547</v>
      </c>
      <c r="C574" s="58">
        <v>908</v>
      </c>
      <c r="D574" s="83" t="s">
        <v>470</v>
      </c>
      <c r="E574" s="83" t="s">
        <v>193</v>
      </c>
      <c r="F574" s="58" t="s">
        <v>400</v>
      </c>
      <c r="G574" s="59"/>
      <c r="H574" s="55"/>
      <c r="I574" s="55"/>
      <c r="J574" s="73">
        <f t="shared" ref="J574:K576" si="413">J575</f>
        <v>0</v>
      </c>
      <c r="K574" s="55">
        <f t="shared" si="413"/>
        <v>0</v>
      </c>
      <c r="L574" s="55"/>
      <c r="M574" s="55"/>
      <c r="N574" s="55"/>
      <c r="O574" s="70">
        <f>O575</f>
        <v>0</v>
      </c>
      <c r="P574" s="55">
        <f t="shared" ref="P574:T576" si="414">P575</f>
        <v>0</v>
      </c>
      <c r="Q574" s="70">
        <f t="shared" si="414"/>
        <v>0</v>
      </c>
      <c r="R574" s="70">
        <f t="shared" si="414"/>
        <v>0</v>
      </c>
      <c r="S574" s="70">
        <f t="shared" si="414"/>
        <v>0</v>
      </c>
      <c r="T574" s="76">
        <f t="shared" si="414"/>
        <v>0</v>
      </c>
      <c r="U574" s="76">
        <f>U575</f>
        <v>0</v>
      </c>
      <c r="V574" s="76">
        <f>V575</f>
        <v>0</v>
      </c>
      <c r="W574" s="76">
        <f>W575</f>
        <v>0</v>
      </c>
      <c r="X574" s="76">
        <f>X575</f>
        <v>0</v>
      </c>
      <c r="Y574" s="106">
        <f>Y575</f>
        <v>0</v>
      </c>
      <c r="Z574" s="46"/>
      <c r="AA574" s="81"/>
    </row>
    <row r="575" spans="1:27" ht="21.75" hidden="1" customHeight="1">
      <c r="A575" s="56"/>
      <c r="B575" s="57" t="s">
        <v>475</v>
      </c>
      <c r="C575" s="58">
        <v>908</v>
      </c>
      <c r="D575" s="83" t="s">
        <v>470</v>
      </c>
      <c r="E575" s="83" t="s">
        <v>193</v>
      </c>
      <c r="F575" s="58" t="s">
        <v>476</v>
      </c>
      <c r="G575" s="59"/>
      <c r="H575" s="55"/>
      <c r="I575" s="55"/>
      <c r="J575" s="73">
        <f t="shared" si="413"/>
        <v>0</v>
      </c>
      <c r="K575" s="55">
        <f t="shared" si="413"/>
        <v>0</v>
      </c>
      <c r="L575" s="55"/>
      <c r="M575" s="55"/>
      <c r="N575" s="55"/>
      <c r="O575" s="70">
        <f>O576</f>
        <v>0</v>
      </c>
      <c r="P575" s="55">
        <f t="shared" si="414"/>
        <v>0</v>
      </c>
      <c r="Q575" s="70">
        <f t="shared" si="414"/>
        <v>0</v>
      </c>
      <c r="R575" s="70">
        <f t="shared" si="414"/>
        <v>0</v>
      </c>
      <c r="S575" s="70">
        <f t="shared" si="414"/>
        <v>0</v>
      </c>
      <c r="T575" s="76">
        <f t="shared" ref="T575:Y575" si="415">T576</f>
        <v>0</v>
      </c>
      <c r="U575" s="76">
        <f t="shared" si="415"/>
        <v>0</v>
      </c>
      <c r="V575" s="76">
        <f t="shared" si="415"/>
        <v>0</v>
      </c>
      <c r="W575" s="76">
        <f t="shared" si="415"/>
        <v>0</v>
      </c>
      <c r="X575" s="76">
        <f t="shared" si="415"/>
        <v>0</v>
      </c>
      <c r="Y575" s="106">
        <f t="shared" si="415"/>
        <v>0</v>
      </c>
      <c r="Z575" s="46"/>
      <c r="AA575" s="81"/>
    </row>
    <row r="576" spans="1:27" ht="37.5" hidden="1">
      <c r="A576" s="56"/>
      <c r="B576" s="57" t="s">
        <v>548</v>
      </c>
      <c r="C576" s="58">
        <v>908</v>
      </c>
      <c r="D576" s="83" t="s">
        <v>470</v>
      </c>
      <c r="E576" s="83" t="s">
        <v>193</v>
      </c>
      <c r="F576" s="58" t="s">
        <v>549</v>
      </c>
      <c r="G576" s="59"/>
      <c r="H576" s="55"/>
      <c r="I576" s="55"/>
      <c r="J576" s="73">
        <f t="shared" si="413"/>
        <v>0</v>
      </c>
      <c r="K576" s="55">
        <f t="shared" si="413"/>
        <v>0</v>
      </c>
      <c r="L576" s="55"/>
      <c r="M576" s="55"/>
      <c r="N576" s="55"/>
      <c r="O576" s="70">
        <f>O577</f>
        <v>0</v>
      </c>
      <c r="P576" s="55">
        <f t="shared" si="414"/>
        <v>0</v>
      </c>
      <c r="Q576" s="70">
        <f t="shared" si="414"/>
        <v>0</v>
      </c>
      <c r="R576" s="70">
        <f t="shared" si="414"/>
        <v>0</v>
      </c>
      <c r="S576" s="70">
        <f t="shared" si="414"/>
        <v>0</v>
      </c>
      <c r="T576" s="76">
        <f t="shared" ref="T576:Y576" si="416">T577</f>
        <v>0</v>
      </c>
      <c r="U576" s="76">
        <f t="shared" si="416"/>
        <v>0</v>
      </c>
      <c r="V576" s="76">
        <f t="shared" si="416"/>
        <v>0</v>
      </c>
      <c r="W576" s="76">
        <f t="shared" si="416"/>
        <v>0</v>
      </c>
      <c r="X576" s="76">
        <f t="shared" si="416"/>
        <v>0</v>
      </c>
      <c r="Y576" s="106">
        <f t="shared" si="416"/>
        <v>0</v>
      </c>
      <c r="Z576" s="46"/>
      <c r="AA576" s="81"/>
    </row>
    <row r="577" spans="1:27" ht="21" hidden="1" customHeight="1">
      <c r="A577" s="56"/>
      <c r="B577" s="57" t="s">
        <v>179</v>
      </c>
      <c r="C577" s="58">
        <v>908</v>
      </c>
      <c r="D577" s="83" t="s">
        <v>470</v>
      </c>
      <c r="E577" s="83" t="s">
        <v>193</v>
      </c>
      <c r="F577" s="58" t="s">
        <v>549</v>
      </c>
      <c r="G577" s="59">
        <v>500</v>
      </c>
      <c r="H577" s="55"/>
      <c r="I577" s="55"/>
      <c r="J577" s="73"/>
      <c r="K577" s="70"/>
      <c r="L577" s="70"/>
      <c r="M577" s="70"/>
      <c r="N577" s="88"/>
      <c r="O577" s="70">
        <f>J577+K577+M577+N577+L577</f>
        <v>0</v>
      </c>
      <c r="P577" s="55"/>
      <c r="Q577" s="65"/>
      <c r="R577" s="65"/>
      <c r="S577" s="65"/>
      <c r="T577" s="77">
        <f>O577+P577+Q577+R577+S577</f>
        <v>0</v>
      </c>
      <c r="U577" s="57"/>
      <c r="V577" s="57"/>
      <c r="W577" s="57"/>
      <c r="X577" s="57"/>
      <c r="Y577" s="106">
        <f>T577+X577</f>
        <v>0</v>
      </c>
      <c r="Z577" s="46"/>
      <c r="AA577" s="81"/>
    </row>
    <row r="578" spans="1:27" ht="40.5" customHeight="1">
      <c r="A578" s="56"/>
      <c r="B578" s="57" t="s">
        <v>550</v>
      </c>
      <c r="C578" s="58">
        <v>908</v>
      </c>
      <c r="D578" s="83" t="s">
        <v>470</v>
      </c>
      <c r="E578" s="83" t="s">
        <v>193</v>
      </c>
      <c r="F578" s="58" t="s">
        <v>497</v>
      </c>
      <c r="G578" s="59"/>
      <c r="H578" s="55"/>
      <c r="I578" s="55"/>
      <c r="J578" s="73"/>
      <c r="K578" s="55"/>
      <c r="L578" s="55"/>
      <c r="M578" s="65"/>
      <c r="N578" s="55"/>
      <c r="O578" s="70">
        <f t="shared" ref="O578:Y578" si="417">O579</f>
        <v>0</v>
      </c>
      <c r="P578" s="55">
        <f t="shared" si="417"/>
        <v>0</v>
      </c>
      <c r="Q578" s="70">
        <f t="shared" si="417"/>
        <v>0</v>
      </c>
      <c r="R578" s="70">
        <f t="shared" si="417"/>
        <v>0</v>
      </c>
      <c r="S578" s="70">
        <f t="shared" si="417"/>
        <v>0</v>
      </c>
      <c r="T578" s="76">
        <f t="shared" si="417"/>
        <v>0</v>
      </c>
      <c r="U578" s="76">
        <f t="shared" si="417"/>
        <v>0</v>
      </c>
      <c r="V578" s="76">
        <f t="shared" si="417"/>
        <v>0</v>
      </c>
      <c r="W578" s="76">
        <f t="shared" si="417"/>
        <v>0</v>
      </c>
      <c r="X578" s="76">
        <f t="shared" si="417"/>
        <v>0</v>
      </c>
      <c r="Y578" s="106">
        <f t="shared" si="417"/>
        <v>3545.8161599999999</v>
      </c>
      <c r="Z578" s="46"/>
      <c r="AA578" s="81"/>
    </row>
    <row r="579" spans="1:27" ht="38.25" customHeight="1">
      <c r="A579" s="56"/>
      <c r="B579" s="57" t="s">
        <v>551</v>
      </c>
      <c r="C579" s="58">
        <v>908</v>
      </c>
      <c r="D579" s="83" t="s">
        <v>470</v>
      </c>
      <c r="E579" s="83" t="s">
        <v>193</v>
      </c>
      <c r="F579" s="58" t="s">
        <v>511</v>
      </c>
      <c r="G579" s="59"/>
      <c r="H579" s="55"/>
      <c r="I579" s="55"/>
      <c r="J579" s="73"/>
      <c r="K579" s="55"/>
      <c r="L579" s="55"/>
      <c r="M579" s="65"/>
      <c r="N579" s="55"/>
      <c r="O579" s="70">
        <f t="shared" ref="O579:Y579" si="418">O580</f>
        <v>0</v>
      </c>
      <c r="P579" s="55">
        <f t="shared" si="418"/>
        <v>0</v>
      </c>
      <c r="Q579" s="70">
        <f t="shared" si="418"/>
        <v>0</v>
      </c>
      <c r="R579" s="70">
        <f t="shared" si="418"/>
        <v>0</v>
      </c>
      <c r="S579" s="70">
        <f t="shared" si="418"/>
        <v>0</v>
      </c>
      <c r="T579" s="76">
        <f t="shared" si="418"/>
        <v>0</v>
      </c>
      <c r="U579" s="76">
        <f t="shared" si="418"/>
        <v>0</v>
      </c>
      <c r="V579" s="76">
        <f t="shared" si="418"/>
        <v>0</v>
      </c>
      <c r="W579" s="76">
        <f t="shared" si="418"/>
        <v>0</v>
      </c>
      <c r="X579" s="76">
        <f t="shared" si="418"/>
        <v>0</v>
      </c>
      <c r="Y579" s="106">
        <f t="shared" si="418"/>
        <v>3545.8161599999999</v>
      </c>
      <c r="Z579" s="46"/>
      <c r="AA579" s="81"/>
    </row>
    <row r="580" spans="1:27" ht="21" customHeight="1">
      <c r="A580" s="56"/>
      <c r="B580" s="57" t="s">
        <v>179</v>
      </c>
      <c r="C580" s="58">
        <v>908</v>
      </c>
      <c r="D580" s="83" t="s">
        <v>470</v>
      </c>
      <c r="E580" s="83" t="s">
        <v>193</v>
      </c>
      <c r="F580" s="58" t="s">
        <v>511</v>
      </c>
      <c r="G580" s="59">
        <v>500</v>
      </c>
      <c r="H580" s="55"/>
      <c r="I580" s="55"/>
      <c r="J580" s="73"/>
      <c r="K580" s="55"/>
      <c r="L580" s="55"/>
      <c r="M580" s="55"/>
      <c r="N580" s="55"/>
      <c r="O580" s="70"/>
      <c r="P580" s="55">
        <v>0</v>
      </c>
      <c r="Q580" s="65"/>
      <c r="R580" s="65"/>
      <c r="S580" s="65"/>
      <c r="T580" s="77">
        <f>O580+P580+Q580+R580+S580</f>
        <v>0</v>
      </c>
      <c r="U580" s="57"/>
      <c r="V580" s="57"/>
      <c r="W580" s="57"/>
      <c r="X580" s="57"/>
      <c r="Y580" s="106">
        <f>3241.70316+304.113</f>
        <v>3545.8161599999999</v>
      </c>
      <c r="Z580" s="46"/>
      <c r="AA580" s="81"/>
    </row>
    <row r="581" spans="1:27" ht="21" customHeight="1">
      <c r="A581" s="56"/>
      <c r="B581" s="57" t="s">
        <v>26</v>
      </c>
      <c r="C581" s="58">
        <v>908</v>
      </c>
      <c r="D581" s="83" t="s">
        <v>470</v>
      </c>
      <c r="E581" s="83" t="s">
        <v>193</v>
      </c>
      <c r="F581" s="58" t="s">
        <v>27</v>
      </c>
      <c r="G581" s="59"/>
      <c r="H581" s="55"/>
      <c r="I581" s="55"/>
      <c r="J581" s="73"/>
      <c r="K581" s="55"/>
      <c r="L581" s="55"/>
      <c r="M581" s="55"/>
      <c r="N581" s="55"/>
      <c r="O581" s="70"/>
      <c r="P581" s="55"/>
      <c r="Q581" s="65"/>
      <c r="R581" s="65"/>
      <c r="S581" s="65"/>
      <c r="T581" s="77"/>
      <c r="U581" s="57"/>
      <c r="V581" s="57"/>
      <c r="W581" s="57"/>
      <c r="X581" s="57">
        <f>X583</f>
        <v>30917.899999999998</v>
      </c>
      <c r="Y581" s="106">
        <f>Y583</f>
        <v>30917.919999999998</v>
      </c>
      <c r="Z581" s="46"/>
      <c r="AA581" s="81"/>
    </row>
    <row r="582" spans="1:27" ht="21" customHeight="1">
      <c r="A582" s="56"/>
      <c r="B582" s="57" t="s">
        <v>552</v>
      </c>
      <c r="C582" s="58">
        <v>908</v>
      </c>
      <c r="D582" s="83" t="s">
        <v>470</v>
      </c>
      <c r="E582" s="83" t="s">
        <v>193</v>
      </c>
      <c r="F582" s="58" t="s">
        <v>553</v>
      </c>
      <c r="G582" s="59"/>
      <c r="H582" s="55"/>
      <c r="I582" s="55"/>
      <c r="J582" s="73"/>
      <c r="K582" s="55"/>
      <c r="L582" s="55"/>
      <c r="M582" s="55"/>
      <c r="N582" s="55"/>
      <c r="O582" s="70"/>
      <c r="P582" s="55"/>
      <c r="Q582" s="65"/>
      <c r="R582" s="65"/>
      <c r="S582" s="65"/>
      <c r="T582" s="77"/>
      <c r="U582" s="57"/>
      <c r="V582" s="57"/>
      <c r="W582" s="57"/>
      <c r="X582" s="57">
        <f>X583</f>
        <v>30917.899999999998</v>
      </c>
      <c r="Y582" s="106">
        <f>Y583</f>
        <v>30917.919999999998</v>
      </c>
      <c r="Z582" s="46"/>
      <c r="AA582" s="81"/>
    </row>
    <row r="583" spans="1:27" ht="41.25" customHeight="1">
      <c r="A583" s="56"/>
      <c r="B583" s="57" t="s">
        <v>554</v>
      </c>
      <c r="C583" s="58">
        <v>908</v>
      </c>
      <c r="D583" s="83" t="s">
        <v>470</v>
      </c>
      <c r="E583" s="83" t="s">
        <v>193</v>
      </c>
      <c r="F583" s="58" t="s">
        <v>555</v>
      </c>
      <c r="G583" s="59"/>
      <c r="H583" s="55"/>
      <c r="I583" s="55"/>
      <c r="J583" s="73"/>
      <c r="K583" s="55"/>
      <c r="L583" s="55"/>
      <c r="M583" s="55"/>
      <c r="N583" s="55"/>
      <c r="O583" s="70"/>
      <c r="P583" s="55"/>
      <c r="Q583" s="65"/>
      <c r="R583" s="65"/>
      <c r="S583" s="65"/>
      <c r="T583" s="77"/>
      <c r="U583" s="57"/>
      <c r="V583" s="57"/>
      <c r="W583" s="57"/>
      <c r="X583" s="57">
        <f>X584</f>
        <v>30917.899999999998</v>
      </c>
      <c r="Y583" s="106">
        <f>Y584</f>
        <v>30917.919999999998</v>
      </c>
      <c r="Z583" s="46"/>
      <c r="AA583" s="81"/>
    </row>
    <row r="584" spans="1:27" ht="21" customHeight="1">
      <c r="A584" s="56"/>
      <c r="B584" s="57" t="s">
        <v>179</v>
      </c>
      <c r="C584" s="58">
        <v>908</v>
      </c>
      <c r="D584" s="83" t="s">
        <v>470</v>
      </c>
      <c r="E584" s="83" t="s">
        <v>193</v>
      </c>
      <c r="F584" s="58" t="s">
        <v>555</v>
      </c>
      <c r="G584" s="59">
        <v>500</v>
      </c>
      <c r="H584" s="55"/>
      <c r="I584" s="55"/>
      <c r="J584" s="73"/>
      <c r="K584" s="55"/>
      <c r="L584" s="55"/>
      <c r="M584" s="55"/>
      <c r="N584" s="55"/>
      <c r="O584" s="70"/>
      <c r="P584" s="55"/>
      <c r="Q584" s="65"/>
      <c r="R584" s="65"/>
      <c r="S584" s="65"/>
      <c r="T584" s="77"/>
      <c r="U584" s="57"/>
      <c r="V584" s="57"/>
      <c r="W584" s="57"/>
      <c r="X584" s="57">
        <f>287.3+30630.6</f>
        <v>30917.899999999998</v>
      </c>
      <c r="Y584" s="106">
        <v>30917.919999999998</v>
      </c>
      <c r="Z584" s="46"/>
      <c r="AA584" s="81"/>
    </row>
    <row r="585" spans="1:27">
      <c r="A585" s="56"/>
      <c r="B585" s="57" t="s">
        <v>556</v>
      </c>
      <c r="C585" s="58">
        <v>908</v>
      </c>
      <c r="D585" s="83" t="s">
        <v>470</v>
      </c>
      <c r="E585" s="83" t="s">
        <v>25</v>
      </c>
      <c r="F585" s="58"/>
      <c r="G585" s="59"/>
      <c r="H585" s="55" t="e">
        <f>H589</f>
        <v>#REF!</v>
      </c>
      <c r="I585" s="55" t="e">
        <f>I589</f>
        <v>#REF!</v>
      </c>
      <c r="J585" s="73" t="e">
        <f>J589</f>
        <v>#REF!</v>
      </c>
      <c r="K585" s="55" t="e">
        <f>K589</f>
        <v>#REF!</v>
      </c>
      <c r="L585" s="55"/>
      <c r="M585" s="65"/>
      <c r="N585" s="55"/>
      <c r="O585" s="70">
        <f t="shared" ref="O585:X585" si="419">O589</f>
        <v>0</v>
      </c>
      <c r="P585" s="70">
        <f t="shared" si="419"/>
        <v>4699.5</v>
      </c>
      <c r="Q585" s="70" t="e">
        <f t="shared" si="419"/>
        <v>#REF!</v>
      </c>
      <c r="R585" s="70" t="e">
        <f t="shared" si="419"/>
        <v>#REF!</v>
      </c>
      <c r="S585" s="70" t="e">
        <f t="shared" si="419"/>
        <v>#REF!</v>
      </c>
      <c r="T585" s="76">
        <f t="shared" si="419"/>
        <v>0</v>
      </c>
      <c r="U585" s="55">
        <f t="shared" si="419"/>
        <v>0</v>
      </c>
      <c r="V585" s="55">
        <f t="shared" si="419"/>
        <v>0</v>
      </c>
      <c r="W585" s="55">
        <f t="shared" si="419"/>
        <v>0</v>
      </c>
      <c r="X585" s="55">
        <f t="shared" si="419"/>
        <v>1120.6999999999998</v>
      </c>
      <c r="Y585" s="106">
        <f>Y589+Y586</f>
        <v>1700.6999999999998</v>
      </c>
      <c r="Z585" s="46"/>
      <c r="AA585" s="81"/>
    </row>
    <row r="586" spans="1:27" ht="37.5">
      <c r="A586" s="56"/>
      <c r="B586" s="57" t="s">
        <v>654</v>
      </c>
      <c r="C586" s="58">
        <v>908</v>
      </c>
      <c r="D586" s="83" t="s">
        <v>470</v>
      </c>
      <c r="E586" s="83" t="s">
        <v>25</v>
      </c>
      <c r="F586" s="58" t="s">
        <v>497</v>
      </c>
      <c r="G586" s="59"/>
      <c r="H586" s="55"/>
      <c r="I586" s="55"/>
      <c r="J586" s="73"/>
      <c r="K586" s="55"/>
      <c r="L586" s="55"/>
      <c r="M586" s="65"/>
      <c r="N586" s="55"/>
      <c r="O586" s="70"/>
      <c r="P586" s="70"/>
      <c r="Q586" s="70"/>
      <c r="R586" s="70"/>
      <c r="S586" s="70"/>
      <c r="T586" s="76"/>
      <c r="U586" s="55"/>
      <c r="V586" s="55"/>
      <c r="W586" s="55"/>
      <c r="X586" s="55"/>
      <c r="Y586" s="106">
        <f>Y587</f>
        <v>580</v>
      </c>
      <c r="Z586" s="46"/>
      <c r="AA586" s="81"/>
    </row>
    <row r="587" spans="1:27">
      <c r="A587" s="56"/>
      <c r="B587" s="57" t="s">
        <v>655</v>
      </c>
      <c r="C587" s="58">
        <v>908</v>
      </c>
      <c r="D587" s="83" t="s">
        <v>470</v>
      </c>
      <c r="E587" s="83" t="s">
        <v>25</v>
      </c>
      <c r="F587" s="58" t="s">
        <v>656</v>
      </c>
      <c r="G587" s="59"/>
      <c r="H587" s="55"/>
      <c r="I587" s="55"/>
      <c r="J587" s="73"/>
      <c r="K587" s="55"/>
      <c r="L587" s="55"/>
      <c r="M587" s="65"/>
      <c r="N587" s="55"/>
      <c r="O587" s="70"/>
      <c r="P587" s="70"/>
      <c r="Q587" s="70"/>
      <c r="R587" s="70"/>
      <c r="S587" s="70"/>
      <c r="T587" s="76"/>
      <c r="U587" s="55"/>
      <c r="V587" s="55"/>
      <c r="W587" s="55"/>
      <c r="X587" s="55"/>
      <c r="Y587" s="106">
        <f>Y588</f>
        <v>580</v>
      </c>
      <c r="Z587" s="46"/>
      <c r="AA587" s="81"/>
    </row>
    <row r="588" spans="1:27">
      <c r="A588" s="56"/>
      <c r="B588" s="57" t="s">
        <v>179</v>
      </c>
      <c r="C588" s="58">
        <v>908</v>
      </c>
      <c r="D588" s="83" t="s">
        <v>470</v>
      </c>
      <c r="E588" s="83" t="s">
        <v>25</v>
      </c>
      <c r="F588" s="58" t="s">
        <v>656</v>
      </c>
      <c r="G588" s="59">
        <v>500</v>
      </c>
      <c r="H588" s="55"/>
      <c r="I588" s="55"/>
      <c r="J588" s="73"/>
      <c r="K588" s="55"/>
      <c r="L588" s="55"/>
      <c r="M588" s="65"/>
      <c r="N588" s="55"/>
      <c r="O588" s="70"/>
      <c r="P588" s="70"/>
      <c r="Q588" s="70"/>
      <c r="R588" s="70"/>
      <c r="S588" s="70"/>
      <c r="T588" s="76"/>
      <c r="U588" s="55"/>
      <c r="V588" s="55"/>
      <c r="W588" s="55"/>
      <c r="X588" s="55"/>
      <c r="Y588" s="106">
        <v>580</v>
      </c>
      <c r="Z588" s="46"/>
      <c r="AA588" s="81"/>
    </row>
    <row r="589" spans="1:27">
      <c r="A589" s="56"/>
      <c r="B589" s="57" t="s">
        <v>26</v>
      </c>
      <c r="C589" s="58">
        <v>908</v>
      </c>
      <c r="D589" s="83" t="s">
        <v>470</v>
      </c>
      <c r="E589" s="83" t="s">
        <v>25</v>
      </c>
      <c r="F589" s="58" t="s">
        <v>27</v>
      </c>
      <c r="G589" s="59"/>
      <c r="H589" s="55" t="e">
        <f>#REF!</f>
        <v>#REF!</v>
      </c>
      <c r="I589" s="55" t="e">
        <f>#REF!</f>
        <v>#REF!</v>
      </c>
      <c r="J589" s="73" t="e">
        <f>#REF!</f>
        <v>#REF!</v>
      </c>
      <c r="K589" s="55" t="e">
        <f>#REF!+K596</f>
        <v>#REF!</v>
      </c>
      <c r="L589" s="55"/>
      <c r="M589" s="55"/>
      <c r="N589" s="55"/>
      <c r="O589" s="70">
        <f>O592+O596</f>
        <v>0</v>
      </c>
      <c r="P589" s="70">
        <f>P592+P596+P594</f>
        <v>4699.5</v>
      </c>
      <c r="Q589" s="70" t="e">
        <f>#REF!+Q596</f>
        <v>#REF!</v>
      </c>
      <c r="R589" s="70" t="e">
        <f>#REF!+R596</f>
        <v>#REF!</v>
      </c>
      <c r="S589" s="70" t="e">
        <f>#REF!+S596</f>
        <v>#REF!</v>
      </c>
      <c r="T589" s="76">
        <f t="shared" ref="T589:Y589" si="420">T590+T592+T596+T594</f>
        <v>0</v>
      </c>
      <c r="U589" s="76">
        <f t="shared" si="420"/>
        <v>0</v>
      </c>
      <c r="V589" s="76">
        <f t="shared" si="420"/>
        <v>0</v>
      </c>
      <c r="W589" s="76">
        <f t="shared" si="420"/>
        <v>0</v>
      </c>
      <c r="X589" s="76">
        <f t="shared" si="420"/>
        <v>1120.6999999999998</v>
      </c>
      <c r="Y589" s="106">
        <f t="shared" si="420"/>
        <v>1120.6999999999998</v>
      </c>
      <c r="Z589" s="46"/>
      <c r="AA589" s="81"/>
    </row>
    <row r="590" spans="1:27" ht="77.25" customHeight="1">
      <c r="A590" s="56"/>
      <c r="B590" s="57" t="s">
        <v>557</v>
      </c>
      <c r="C590" s="58">
        <v>908</v>
      </c>
      <c r="D590" s="83" t="s">
        <v>470</v>
      </c>
      <c r="E590" s="83" t="s">
        <v>25</v>
      </c>
      <c r="F590" s="58" t="s">
        <v>558</v>
      </c>
      <c r="G590" s="59"/>
      <c r="H590" s="55"/>
      <c r="I590" s="55"/>
      <c r="J590" s="73"/>
      <c r="K590" s="55"/>
      <c r="L590" s="55"/>
      <c r="M590" s="55"/>
      <c r="N590" s="55"/>
      <c r="O590" s="70"/>
      <c r="P590" s="70"/>
      <c r="Q590" s="70"/>
      <c r="R590" s="70"/>
      <c r="S590" s="70"/>
      <c r="T590" s="76"/>
      <c r="U590" s="55"/>
      <c r="V590" s="55"/>
      <c r="W590" s="55"/>
      <c r="X590" s="55">
        <f>X591</f>
        <v>1110.5999999999999</v>
      </c>
      <c r="Y590" s="106">
        <f>T590+X590</f>
        <v>1110.5999999999999</v>
      </c>
      <c r="Z590" s="46"/>
      <c r="AA590" s="81"/>
    </row>
    <row r="591" spans="1:27">
      <c r="A591" s="56"/>
      <c r="B591" s="57" t="s">
        <v>179</v>
      </c>
      <c r="C591" s="58">
        <v>908</v>
      </c>
      <c r="D591" s="83" t="s">
        <v>470</v>
      </c>
      <c r="E591" s="83" t="s">
        <v>25</v>
      </c>
      <c r="F591" s="58" t="s">
        <v>558</v>
      </c>
      <c r="G591" s="59">
        <v>500</v>
      </c>
      <c r="H591" s="55"/>
      <c r="I591" s="55"/>
      <c r="J591" s="73"/>
      <c r="K591" s="55"/>
      <c r="L591" s="55"/>
      <c r="M591" s="55"/>
      <c r="N591" s="55"/>
      <c r="O591" s="70"/>
      <c r="P591" s="70"/>
      <c r="Q591" s="70"/>
      <c r="R591" s="70"/>
      <c r="S591" s="70"/>
      <c r="T591" s="76"/>
      <c r="U591" s="55"/>
      <c r="V591" s="55"/>
      <c r="W591" s="55"/>
      <c r="X591" s="55">
        <v>1110.5999999999999</v>
      </c>
      <c r="Y591" s="106">
        <f>T591+X591</f>
        <v>1110.5999999999999</v>
      </c>
      <c r="Z591" s="46"/>
      <c r="AA591" s="81"/>
    </row>
    <row r="592" spans="1:27" ht="60" customHeight="1">
      <c r="A592" s="56"/>
      <c r="B592" s="57" t="s">
        <v>559</v>
      </c>
      <c r="C592" s="58">
        <v>908</v>
      </c>
      <c r="D592" s="83" t="s">
        <v>470</v>
      </c>
      <c r="E592" s="83" t="s">
        <v>25</v>
      </c>
      <c r="F592" s="58" t="s">
        <v>560</v>
      </c>
      <c r="G592" s="59"/>
      <c r="H592" s="55"/>
      <c r="I592" s="55"/>
      <c r="J592" s="73"/>
      <c r="K592" s="55"/>
      <c r="L592" s="55"/>
      <c r="M592" s="55"/>
      <c r="N592" s="55"/>
      <c r="O592" s="70"/>
      <c r="P592" s="55">
        <f>P593</f>
        <v>659</v>
      </c>
      <c r="Q592" s="70"/>
      <c r="R592" s="70"/>
      <c r="S592" s="70"/>
      <c r="T592" s="76">
        <f>T593</f>
        <v>0</v>
      </c>
      <c r="U592" s="55">
        <f t="shared" ref="U592:Y592" si="421">U593</f>
        <v>0</v>
      </c>
      <c r="V592" s="55">
        <f t="shared" si="421"/>
        <v>0</v>
      </c>
      <c r="W592" s="55">
        <f t="shared" si="421"/>
        <v>0</v>
      </c>
      <c r="X592" s="55">
        <f t="shared" si="421"/>
        <v>10.1</v>
      </c>
      <c r="Y592" s="106">
        <f t="shared" si="421"/>
        <v>10.1</v>
      </c>
      <c r="Z592" s="46"/>
      <c r="AA592" s="81"/>
    </row>
    <row r="593" spans="1:27" ht="18" customHeight="1">
      <c r="A593" s="56"/>
      <c r="B593" s="57" t="s">
        <v>179</v>
      </c>
      <c r="C593" s="58">
        <v>908</v>
      </c>
      <c r="D593" s="83" t="s">
        <v>470</v>
      </c>
      <c r="E593" s="83" t="s">
        <v>25</v>
      </c>
      <c r="F593" s="58" t="s">
        <v>560</v>
      </c>
      <c r="G593" s="59">
        <v>500</v>
      </c>
      <c r="H593" s="55"/>
      <c r="I593" s="55"/>
      <c r="J593" s="73"/>
      <c r="K593" s="55"/>
      <c r="L593" s="55"/>
      <c r="M593" s="55"/>
      <c r="N593" s="55"/>
      <c r="O593" s="70"/>
      <c r="P593" s="55">
        <v>659</v>
      </c>
      <c r="Q593" s="70"/>
      <c r="R593" s="70"/>
      <c r="S593" s="70"/>
      <c r="T593" s="76"/>
      <c r="U593" s="57"/>
      <c r="V593" s="57"/>
      <c r="W593" s="57"/>
      <c r="X593" s="57">
        <v>10.1</v>
      </c>
      <c r="Y593" s="106">
        <f>T593+U593+V593+W593+X593</f>
        <v>10.1</v>
      </c>
      <c r="Z593" s="46"/>
      <c r="AA593" s="81"/>
    </row>
    <row r="594" spans="1:27" hidden="1">
      <c r="A594" s="56"/>
      <c r="B594" s="57" t="s">
        <v>561</v>
      </c>
      <c r="C594" s="58">
        <v>908</v>
      </c>
      <c r="D594" s="83" t="s">
        <v>470</v>
      </c>
      <c r="E594" s="83" t="s">
        <v>25</v>
      </c>
      <c r="F594" s="58" t="s">
        <v>562</v>
      </c>
      <c r="G594" s="59"/>
      <c r="H594" s="55">
        <f>H595</f>
        <v>0</v>
      </c>
      <c r="I594" s="55">
        <f>I595</f>
        <v>4040.4040399999999</v>
      </c>
      <c r="J594" s="73">
        <f>J595</f>
        <v>0</v>
      </c>
      <c r="K594" s="55">
        <f>K595</f>
        <v>3030.3</v>
      </c>
      <c r="L594" s="55"/>
      <c r="M594" s="55"/>
      <c r="N594" s="55"/>
      <c r="O594" s="70">
        <f t="shared" ref="O594:Y594" si="422">O595</f>
        <v>0</v>
      </c>
      <c r="P594" s="55">
        <f t="shared" si="422"/>
        <v>4040.5</v>
      </c>
      <c r="Q594" s="70">
        <f t="shared" si="422"/>
        <v>0</v>
      </c>
      <c r="R594" s="70">
        <f t="shared" si="422"/>
        <v>0</v>
      </c>
      <c r="S594" s="70">
        <f t="shared" si="422"/>
        <v>0</v>
      </c>
      <c r="T594" s="76">
        <f t="shared" si="422"/>
        <v>0</v>
      </c>
      <c r="U594" s="55">
        <f t="shared" si="422"/>
        <v>0</v>
      </c>
      <c r="V594" s="55">
        <f t="shared" si="422"/>
        <v>0</v>
      </c>
      <c r="W594" s="55">
        <f t="shared" si="422"/>
        <v>0</v>
      </c>
      <c r="X594" s="55">
        <f t="shared" si="422"/>
        <v>0</v>
      </c>
      <c r="Y594" s="106">
        <f t="shared" si="422"/>
        <v>0</v>
      </c>
      <c r="Z594" s="46"/>
      <c r="AA594" s="81"/>
    </row>
    <row r="595" spans="1:27" hidden="1">
      <c r="A595" s="56"/>
      <c r="B595" s="57" t="s">
        <v>179</v>
      </c>
      <c r="C595" s="58">
        <v>908</v>
      </c>
      <c r="D595" s="83" t="s">
        <v>470</v>
      </c>
      <c r="E595" s="83" t="s">
        <v>25</v>
      </c>
      <c r="F595" s="58" t="s">
        <v>562</v>
      </c>
      <c r="G595" s="59">
        <v>500</v>
      </c>
      <c r="H595" s="55"/>
      <c r="I595" s="55">
        <v>4040.4040399999999</v>
      </c>
      <c r="J595" s="73"/>
      <c r="K595" s="70">
        <v>3030.3</v>
      </c>
      <c r="L595" s="70"/>
      <c r="M595" s="70"/>
      <c r="N595" s="70"/>
      <c r="O595" s="70"/>
      <c r="P595" s="55">
        <v>4040.5</v>
      </c>
      <c r="Q595" s="65"/>
      <c r="R595" s="65"/>
      <c r="S595" s="65"/>
      <c r="T595" s="77"/>
      <c r="U595" s="57"/>
      <c r="V595" s="57"/>
      <c r="W595" s="57"/>
      <c r="X595" s="57">
        <v>0</v>
      </c>
      <c r="Y595" s="106">
        <f>T595+U595+V595+W595+X595</f>
        <v>0</v>
      </c>
      <c r="Z595" s="46"/>
      <c r="AA595" s="81"/>
    </row>
    <row r="596" spans="1:27" ht="56.25" hidden="1">
      <c r="A596" s="56"/>
      <c r="B596" s="57" t="s">
        <v>563</v>
      </c>
      <c r="C596" s="58">
        <v>908</v>
      </c>
      <c r="D596" s="83" t="s">
        <v>470</v>
      </c>
      <c r="E596" s="83" t="s">
        <v>25</v>
      </c>
      <c r="F596" s="58" t="s">
        <v>564</v>
      </c>
      <c r="G596" s="59"/>
      <c r="H596" s="55"/>
      <c r="I596" s="55"/>
      <c r="J596" s="73"/>
      <c r="K596" s="70">
        <f>K597</f>
        <v>7000</v>
      </c>
      <c r="L596" s="70"/>
      <c r="M596" s="70"/>
      <c r="N596" s="70"/>
      <c r="O596" s="70">
        <f t="shared" ref="O596:T596" si="423">O597</f>
        <v>0</v>
      </c>
      <c r="P596" s="55">
        <f t="shared" si="423"/>
        <v>0</v>
      </c>
      <c r="Q596" s="70">
        <f t="shared" si="423"/>
        <v>0</v>
      </c>
      <c r="R596" s="70">
        <f t="shared" si="423"/>
        <v>0</v>
      </c>
      <c r="S596" s="70">
        <f t="shared" si="423"/>
        <v>0</v>
      </c>
      <c r="T596" s="76">
        <f t="shared" si="423"/>
        <v>0</v>
      </c>
      <c r="U596" s="57"/>
      <c r="V596" s="57"/>
      <c r="W596" s="57"/>
      <c r="X596" s="57"/>
      <c r="Y596" s="106">
        <f>Y597</f>
        <v>0</v>
      </c>
      <c r="Z596" s="46"/>
      <c r="AA596" s="81"/>
    </row>
    <row r="597" spans="1:27" hidden="1">
      <c r="A597" s="56"/>
      <c r="B597" s="57" t="s">
        <v>179</v>
      </c>
      <c r="C597" s="58">
        <v>908</v>
      </c>
      <c r="D597" s="83" t="s">
        <v>470</v>
      </c>
      <c r="E597" s="83" t="s">
        <v>25</v>
      </c>
      <c r="F597" s="58" t="s">
        <v>564</v>
      </c>
      <c r="G597" s="59">
        <v>500</v>
      </c>
      <c r="H597" s="55"/>
      <c r="I597" s="55"/>
      <c r="J597" s="73"/>
      <c r="K597" s="70">
        <v>7000</v>
      </c>
      <c r="L597" s="70"/>
      <c r="M597" s="70"/>
      <c r="N597" s="70"/>
      <c r="O597" s="70"/>
      <c r="P597" s="55"/>
      <c r="Q597" s="65"/>
      <c r="R597" s="65"/>
      <c r="S597" s="65"/>
      <c r="T597" s="77">
        <f>O597+P597+Q597+R597+S597</f>
        <v>0</v>
      </c>
      <c r="U597" s="57"/>
      <c r="V597" s="57"/>
      <c r="W597" s="57"/>
      <c r="X597" s="57"/>
      <c r="Y597" s="106">
        <v>0</v>
      </c>
      <c r="Z597" s="46"/>
      <c r="AA597" s="81"/>
    </row>
    <row r="598" spans="1:27">
      <c r="A598" s="56"/>
      <c r="B598" s="57" t="s">
        <v>565</v>
      </c>
      <c r="C598" s="58">
        <v>908</v>
      </c>
      <c r="D598" s="83" t="s">
        <v>200</v>
      </c>
      <c r="E598" s="83"/>
      <c r="F598" s="58"/>
      <c r="G598" s="59"/>
      <c r="H598" s="55">
        <f>H599+H604</f>
        <v>50</v>
      </c>
      <c r="I598" s="55">
        <f>I599+I604</f>
        <v>566.29999999999995</v>
      </c>
      <c r="J598" s="73">
        <f>J599+J604</f>
        <v>50</v>
      </c>
      <c r="K598" s="55">
        <f>K599+K604</f>
        <v>588.70000000000005</v>
      </c>
      <c r="L598" s="55"/>
      <c r="M598" s="55"/>
      <c r="N598" s="55"/>
      <c r="O598" s="70">
        <f t="shared" ref="O598:Y598" si="424">O599+O604</f>
        <v>70</v>
      </c>
      <c r="P598" s="55">
        <f t="shared" si="424"/>
        <v>628.9</v>
      </c>
      <c r="Q598" s="70">
        <f t="shared" si="424"/>
        <v>0</v>
      </c>
      <c r="R598" s="70">
        <f t="shared" si="424"/>
        <v>0</v>
      </c>
      <c r="S598" s="70">
        <f t="shared" si="424"/>
        <v>0</v>
      </c>
      <c r="T598" s="76">
        <f t="shared" si="424"/>
        <v>70</v>
      </c>
      <c r="U598" s="76">
        <f t="shared" si="424"/>
        <v>0</v>
      </c>
      <c r="V598" s="76">
        <f t="shared" si="424"/>
        <v>0</v>
      </c>
      <c r="W598" s="76">
        <f t="shared" si="424"/>
        <v>0</v>
      </c>
      <c r="X598" s="76">
        <f t="shared" si="424"/>
        <v>710.8</v>
      </c>
      <c r="Y598" s="106">
        <f t="shared" si="424"/>
        <v>868.11</v>
      </c>
      <c r="Z598" s="46"/>
      <c r="AA598" s="81"/>
    </row>
    <row r="599" spans="1:27">
      <c r="A599" s="56"/>
      <c r="B599" s="57" t="s">
        <v>566</v>
      </c>
      <c r="C599" s="58">
        <v>908</v>
      </c>
      <c r="D599" s="83" t="s">
        <v>200</v>
      </c>
      <c r="E599" s="83" t="s">
        <v>200</v>
      </c>
      <c r="F599" s="58"/>
      <c r="G599" s="59"/>
      <c r="H599" s="55">
        <f t="shared" ref="H599:K602" si="425">H600</f>
        <v>50</v>
      </c>
      <c r="I599" s="55">
        <f t="shared" si="425"/>
        <v>0</v>
      </c>
      <c r="J599" s="73">
        <f t="shared" si="425"/>
        <v>50</v>
      </c>
      <c r="K599" s="55">
        <f t="shared" si="425"/>
        <v>0</v>
      </c>
      <c r="L599" s="55"/>
      <c r="M599" s="55"/>
      <c r="N599" s="55"/>
      <c r="O599" s="70">
        <f>O600</f>
        <v>70</v>
      </c>
      <c r="P599" s="55">
        <f t="shared" ref="P599:Y602" si="426">P600</f>
        <v>0</v>
      </c>
      <c r="Q599" s="70">
        <f t="shared" si="426"/>
        <v>0</v>
      </c>
      <c r="R599" s="70">
        <f t="shared" si="426"/>
        <v>0</v>
      </c>
      <c r="S599" s="70">
        <f t="shared" si="426"/>
        <v>0</v>
      </c>
      <c r="T599" s="76">
        <f t="shared" si="426"/>
        <v>70</v>
      </c>
      <c r="U599" s="55">
        <f t="shared" si="426"/>
        <v>0</v>
      </c>
      <c r="V599" s="55">
        <f t="shared" si="426"/>
        <v>0</v>
      </c>
      <c r="W599" s="55">
        <f t="shared" si="426"/>
        <v>0</v>
      </c>
      <c r="X599" s="55">
        <f t="shared" si="426"/>
        <v>0</v>
      </c>
      <c r="Y599" s="106">
        <f t="shared" si="426"/>
        <v>70</v>
      </c>
      <c r="Z599" s="46"/>
      <c r="AA599" s="81"/>
    </row>
    <row r="600" spans="1:27" ht="37.5">
      <c r="A600" s="56"/>
      <c r="B600" s="57" t="s">
        <v>567</v>
      </c>
      <c r="C600" s="58">
        <v>908</v>
      </c>
      <c r="D600" s="83" t="s">
        <v>200</v>
      </c>
      <c r="E600" s="83" t="s">
        <v>200</v>
      </c>
      <c r="F600" s="58" t="s">
        <v>390</v>
      </c>
      <c r="G600" s="59"/>
      <c r="H600" s="55">
        <f t="shared" si="425"/>
        <v>50</v>
      </c>
      <c r="I600" s="55">
        <f t="shared" si="425"/>
        <v>0</v>
      </c>
      <c r="J600" s="73">
        <f t="shared" si="425"/>
        <v>50</v>
      </c>
      <c r="K600" s="55">
        <f t="shared" si="425"/>
        <v>0</v>
      </c>
      <c r="L600" s="55"/>
      <c r="M600" s="55"/>
      <c r="N600" s="55"/>
      <c r="O600" s="70">
        <f>O601</f>
        <v>70</v>
      </c>
      <c r="P600" s="55">
        <f t="shared" si="426"/>
        <v>0</v>
      </c>
      <c r="Q600" s="70">
        <f t="shared" si="426"/>
        <v>0</v>
      </c>
      <c r="R600" s="70">
        <f t="shared" si="426"/>
        <v>0</v>
      </c>
      <c r="S600" s="70">
        <f t="shared" si="426"/>
        <v>0</v>
      </c>
      <c r="T600" s="76">
        <f t="shared" si="426"/>
        <v>70</v>
      </c>
      <c r="U600" s="55">
        <f t="shared" si="426"/>
        <v>0</v>
      </c>
      <c r="V600" s="55">
        <f t="shared" si="426"/>
        <v>0</v>
      </c>
      <c r="W600" s="55">
        <f t="shared" si="426"/>
        <v>0</v>
      </c>
      <c r="X600" s="55">
        <f t="shared" si="426"/>
        <v>0</v>
      </c>
      <c r="Y600" s="106">
        <f t="shared" si="426"/>
        <v>70</v>
      </c>
      <c r="Z600" s="46"/>
      <c r="AA600" s="81"/>
    </row>
    <row r="601" spans="1:27">
      <c r="A601" s="56"/>
      <c r="B601" s="57" t="s">
        <v>568</v>
      </c>
      <c r="C601" s="58">
        <v>908</v>
      </c>
      <c r="D601" s="83" t="s">
        <v>200</v>
      </c>
      <c r="E601" s="83" t="s">
        <v>200</v>
      </c>
      <c r="F601" s="58" t="s">
        <v>392</v>
      </c>
      <c r="G601" s="59"/>
      <c r="H601" s="55">
        <f t="shared" si="425"/>
        <v>50</v>
      </c>
      <c r="I601" s="55">
        <f t="shared" si="425"/>
        <v>0</v>
      </c>
      <c r="J601" s="73">
        <f t="shared" si="425"/>
        <v>50</v>
      </c>
      <c r="K601" s="55">
        <f t="shared" si="425"/>
        <v>0</v>
      </c>
      <c r="L601" s="55"/>
      <c r="M601" s="55"/>
      <c r="N601" s="55"/>
      <c r="O601" s="70">
        <f>O602</f>
        <v>70</v>
      </c>
      <c r="P601" s="55">
        <f t="shared" si="426"/>
        <v>0</v>
      </c>
      <c r="Q601" s="70">
        <f t="shared" si="426"/>
        <v>0</v>
      </c>
      <c r="R601" s="70">
        <f t="shared" si="426"/>
        <v>0</v>
      </c>
      <c r="S601" s="70">
        <f t="shared" si="426"/>
        <v>0</v>
      </c>
      <c r="T601" s="76">
        <f t="shared" si="426"/>
        <v>70</v>
      </c>
      <c r="U601" s="55">
        <f t="shared" si="426"/>
        <v>0</v>
      </c>
      <c r="V601" s="55">
        <f t="shared" si="426"/>
        <v>0</v>
      </c>
      <c r="W601" s="55">
        <f t="shared" si="426"/>
        <v>0</v>
      </c>
      <c r="X601" s="55">
        <f t="shared" si="426"/>
        <v>0</v>
      </c>
      <c r="Y601" s="106">
        <f t="shared" si="426"/>
        <v>70</v>
      </c>
      <c r="Z601" s="46"/>
      <c r="AA601" s="81"/>
    </row>
    <row r="602" spans="1:27">
      <c r="A602" s="56"/>
      <c r="B602" s="57" t="s">
        <v>393</v>
      </c>
      <c r="C602" s="58">
        <v>908</v>
      </c>
      <c r="D602" s="83" t="s">
        <v>200</v>
      </c>
      <c r="E602" s="83" t="s">
        <v>200</v>
      </c>
      <c r="F602" s="58" t="s">
        <v>394</v>
      </c>
      <c r="G602" s="59"/>
      <c r="H602" s="55">
        <f t="shared" si="425"/>
        <v>50</v>
      </c>
      <c r="I602" s="55">
        <f t="shared" si="425"/>
        <v>0</v>
      </c>
      <c r="J602" s="73">
        <f t="shared" si="425"/>
        <v>50</v>
      </c>
      <c r="K602" s="55">
        <f t="shared" si="425"/>
        <v>0</v>
      </c>
      <c r="L602" s="55"/>
      <c r="M602" s="55"/>
      <c r="N602" s="55"/>
      <c r="O602" s="70">
        <f>O603</f>
        <v>70</v>
      </c>
      <c r="P602" s="55">
        <f t="shared" si="426"/>
        <v>0</v>
      </c>
      <c r="Q602" s="70">
        <f t="shared" si="426"/>
        <v>0</v>
      </c>
      <c r="R602" s="70">
        <f t="shared" si="426"/>
        <v>0</v>
      </c>
      <c r="S602" s="70">
        <f t="shared" si="426"/>
        <v>0</v>
      </c>
      <c r="T602" s="76">
        <f t="shared" si="426"/>
        <v>70</v>
      </c>
      <c r="U602" s="55">
        <f t="shared" si="426"/>
        <v>0</v>
      </c>
      <c r="V602" s="55">
        <f t="shared" si="426"/>
        <v>0</v>
      </c>
      <c r="W602" s="55">
        <f t="shared" si="426"/>
        <v>0</v>
      </c>
      <c r="X602" s="55">
        <f t="shared" si="426"/>
        <v>0</v>
      </c>
      <c r="Y602" s="106">
        <f t="shared" si="426"/>
        <v>70</v>
      </c>
      <c r="Z602" s="46"/>
      <c r="AA602" s="81"/>
    </row>
    <row r="603" spans="1:27" ht="21.75" customHeight="1">
      <c r="A603" s="56"/>
      <c r="B603" s="57" t="s">
        <v>36</v>
      </c>
      <c r="C603" s="58">
        <v>908</v>
      </c>
      <c r="D603" s="83" t="s">
        <v>200</v>
      </c>
      <c r="E603" s="83" t="s">
        <v>200</v>
      </c>
      <c r="F603" s="58" t="s">
        <v>394</v>
      </c>
      <c r="G603" s="59">
        <v>200</v>
      </c>
      <c r="H603" s="55">
        <v>50</v>
      </c>
      <c r="I603" s="55"/>
      <c r="J603" s="73">
        <v>50</v>
      </c>
      <c r="K603" s="70"/>
      <c r="L603" s="70"/>
      <c r="M603" s="70"/>
      <c r="N603" s="70"/>
      <c r="O603" s="70">
        <v>70</v>
      </c>
      <c r="P603" s="55"/>
      <c r="Q603" s="65"/>
      <c r="R603" s="65"/>
      <c r="S603" s="65"/>
      <c r="T603" s="77">
        <v>70</v>
      </c>
      <c r="U603" s="57"/>
      <c r="V603" s="57"/>
      <c r="W603" s="57"/>
      <c r="X603" s="57"/>
      <c r="Y603" s="106">
        <f>T603+U603+V603+W603+X603</f>
        <v>70</v>
      </c>
      <c r="Z603" s="46"/>
      <c r="AA603" s="81"/>
    </row>
    <row r="604" spans="1:27">
      <c r="A604" s="56"/>
      <c r="B604" s="57" t="s">
        <v>314</v>
      </c>
      <c r="C604" s="58">
        <v>908</v>
      </c>
      <c r="D604" s="83" t="s">
        <v>200</v>
      </c>
      <c r="E604" s="83" t="s">
        <v>315</v>
      </c>
      <c r="F604" s="58"/>
      <c r="G604" s="59"/>
      <c r="H604" s="55">
        <f t="shared" ref="H604:K608" si="427">H605</f>
        <v>0</v>
      </c>
      <c r="I604" s="55">
        <f t="shared" si="427"/>
        <v>566.29999999999995</v>
      </c>
      <c r="J604" s="73">
        <f t="shared" si="427"/>
        <v>0</v>
      </c>
      <c r="K604" s="55">
        <f t="shared" si="427"/>
        <v>588.70000000000005</v>
      </c>
      <c r="L604" s="55"/>
      <c r="M604" s="55"/>
      <c r="N604" s="65"/>
      <c r="O604" s="70">
        <f t="shared" ref="O604:Y604" si="428">O605</f>
        <v>0</v>
      </c>
      <c r="P604" s="55">
        <f t="shared" si="428"/>
        <v>628.9</v>
      </c>
      <c r="Q604" s="70">
        <f t="shared" si="428"/>
        <v>0</v>
      </c>
      <c r="R604" s="70">
        <f t="shared" si="428"/>
        <v>0</v>
      </c>
      <c r="S604" s="70">
        <f t="shared" si="428"/>
        <v>0</v>
      </c>
      <c r="T604" s="76">
        <f t="shared" si="428"/>
        <v>0</v>
      </c>
      <c r="U604" s="55">
        <f t="shared" si="428"/>
        <v>0</v>
      </c>
      <c r="V604" s="55">
        <f t="shared" si="428"/>
        <v>0</v>
      </c>
      <c r="W604" s="55">
        <f t="shared" si="428"/>
        <v>0</v>
      </c>
      <c r="X604" s="55">
        <f t="shared" si="428"/>
        <v>710.8</v>
      </c>
      <c r="Y604" s="106">
        <f t="shared" si="428"/>
        <v>798.11</v>
      </c>
      <c r="Z604" s="46"/>
      <c r="AA604" s="81"/>
    </row>
    <row r="605" spans="1:27">
      <c r="A605" s="56"/>
      <c r="B605" s="57" t="s">
        <v>26</v>
      </c>
      <c r="C605" s="58">
        <v>908</v>
      </c>
      <c r="D605" s="83" t="s">
        <v>200</v>
      </c>
      <c r="E605" s="83" t="s">
        <v>315</v>
      </c>
      <c r="F605" s="58" t="s">
        <v>27</v>
      </c>
      <c r="G605" s="59"/>
      <c r="H605" s="55">
        <f>H608</f>
        <v>0</v>
      </c>
      <c r="I605" s="55">
        <f>I608</f>
        <v>566.29999999999995</v>
      </c>
      <c r="J605" s="73">
        <f>J608</f>
        <v>0</v>
      </c>
      <c r="K605" s="55">
        <f>K608+K610</f>
        <v>588.70000000000005</v>
      </c>
      <c r="L605" s="55"/>
      <c r="M605" s="55"/>
      <c r="N605" s="65"/>
      <c r="O605" s="70">
        <f t="shared" ref="O605:T605" si="429">O608+O610</f>
        <v>0</v>
      </c>
      <c r="P605" s="55">
        <f t="shared" si="429"/>
        <v>628.9</v>
      </c>
      <c r="Q605" s="70">
        <f t="shared" si="429"/>
        <v>0</v>
      </c>
      <c r="R605" s="70">
        <f t="shared" si="429"/>
        <v>0</v>
      </c>
      <c r="S605" s="70">
        <f t="shared" si="429"/>
        <v>0</v>
      </c>
      <c r="T605" s="76">
        <f t="shared" si="429"/>
        <v>0</v>
      </c>
      <c r="U605" s="55">
        <f t="shared" ref="U605:X605" si="430">U608+U610</f>
        <v>0</v>
      </c>
      <c r="V605" s="55">
        <f t="shared" si="430"/>
        <v>0</v>
      </c>
      <c r="W605" s="55">
        <f t="shared" si="430"/>
        <v>0</v>
      </c>
      <c r="X605" s="55">
        <f t="shared" si="430"/>
        <v>710.8</v>
      </c>
      <c r="Y605" s="106">
        <f>Y608+Y610+Y606</f>
        <v>798.11</v>
      </c>
      <c r="Z605" s="46"/>
      <c r="AA605" s="81"/>
    </row>
    <row r="606" spans="1:27" ht="56.25" hidden="1">
      <c r="A606" s="56"/>
      <c r="B606" s="57" t="s">
        <v>657</v>
      </c>
      <c r="C606" s="58">
        <v>908</v>
      </c>
      <c r="D606" s="83" t="s">
        <v>200</v>
      </c>
      <c r="E606" s="83" t="s">
        <v>315</v>
      </c>
      <c r="F606" s="58" t="s">
        <v>658</v>
      </c>
      <c r="G606" s="59"/>
      <c r="H606" s="55"/>
      <c r="I606" s="55"/>
      <c r="J606" s="73"/>
      <c r="K606" s="55"/>
      <c r="L606" s="55"/>
      <c r="M606" s="55"/>
      <c r="N606" s="65"/>
      <c r="O606" s="70"/>
      <c r="P606" s="55"/>
      <c r="Q606" s="70"/>
      <c r="R606" s="70"/>
      <c r="S606" s="70"/>
      <c r="T606" s="76"/>
      <c r="U606" s="55"/>
      <c r="V606" s="55"/>
      <c r="W606" s="55"/>
      <c r="X606" s="55"/>
      <c r="Y606" s="106">
        <f>Y607</f>
        <v>0</v>
      </c>
      <c r="Z606" s="46"/>
      <c r="AA606" s="81"/>
    </row>
    <row r="607" spans="1:27" ht="56.25" hidden="1">
      <c r="A607" s="56"/>
      <c r="B607" s="57" t="s">
        <v>32</v>
      </c>
      <c r="C607" s="58">
        <v>908</v>
      </c>
      <c r="D607" s="83" t="s">
        <v>200</v>
      </c>
      <c r="E607" s="83" t="s">
        <v>315</v>
      </c>
      <c r="F607" s="58" t="s">
        <v>658</v>
      </c>
      <c r="G607" s="59">
        <v>100</v>
      </c>
      <c r="H607" s="55"/>
      <c r="I607" s="55"/>
      <c r="J607" s="73"/>
      <c r="K607" s="55"/>
      <c r="L607" s="55"/>
      <c r="M607" s="55"/>
      <c r="N607" s="65"/>
      <c r="O607" s="70"/>
      <c r="P607" s="55"/>
      <c r="Q607" s="70"/>
      <c r="R607" s="70"/>
      <c r="S607" s="70"/>
      <c r="T607" s="76"/>
      <c r="U607" s="55"/>
      <c r="V607" s="55"/>
      <c r="W607" s="55"/>
      <c r="X607" s="55"/>
      <c r="Y607" s="106">
        <v>0</v>
      </c>
      <c r="Z607" s="46"/>
      <c r="AA607" s="81"/>
    </row>
    <row r="608" spans="1:27" ht="38.25" customHeight="1">
      <c r="A608" s="56"/>
      <c r="B608" s="57" t="s">
        <v>569</v>
      </c>
      <c r="C608" s="58">
        <v>908</v>
      </c>
      <c r="D608" s="83" t="s">
        <v>200</v>
      </c>
      <c r="E608" s="83" t="s">
        <v>315</v>
      </c>
      <c r="F608" s="58" t="s">
        <v>666</v>
      </c>
      <c r="G608" s="59"/>
      <c r="H608" s="55">
        <f t="shared" si="427"/>
        <v>0</v>
      </c>
      <c r="I608" s="55">
        <f t="shared" si="427"/>
        <v>566.29999999999995</v>
      </c>
      <c r="J608" s="73">
        <f t="shared" si="427"/>
        <v>0</v>
      </c>
      <c r="K608" s="55">
        <f t="shared" si="427"/>
        <v>588.70000000000005</v>
      </c>
      <c r="L608" s="55"/>
      <c r="M608" s="55"/>
      <c r="N608" s="55"/>
      <c r="O608" s="70">
        <f t="shared" ref="O608:Y608" si="431">O609</f>
        <v>0</v>
      </c>
      <c r="P608" s="55">
        <f t="shared" si="431"/>
        <v>628.9</v>
      </c>
      <c r="Q608" s="70">
        <f t="shared" si="431"/>
        <v>0</v>
      </c>
      <c r="R608" s="70">
        <f t="shared" si="431"/>
        <v>0</v>
      </c>
      <c r="S608" s="70">
        <f t="shared" si="431"/>
        <v>0</v>
      </c>
      <c r="T608" s="76">
        <f t="shared" si="431"/>
        <v>0</v>
      </c>
      <c r="U608" s="55">
        <f t="shared" si="431"/>
        <v>0</v>
      </c>
      <c r="V608" s="55">
        <f t="shared" si="431"/>
        <v>0</v>
      </c>
      <c r="W608" s="55">
        <f t="shared" si="431"/>
        <v>0</v>
      </c>
      <c r="X608" s="55">
        <f t="shared" si="431"/>
        <v>710.8</v>
      </c>
      <c r="Y608" s="106">
        <f t="shared" si="431"/>
        <v>791.6</v>
      </c>
      <c r="Z608" s="46"/>
      <c r="AA608" s="81"/>
    </row>
    <row r="609" spans="1:27" ht="57.75" customHeight="1">
      <c r="A609" s="56"/>
      <c r="B609" s="57" t="s">
        <v>32</v>
      </c>
      <c r="C609" s="58">
        <v>908</v>
      </c>
      <c r="D609" s="83" t="s">
        <v>200</v>
      </c>
      <c r="E609" s="83" t="s">
        <v>315</v>
      </c>
      <c r="F609" s="58" t="s">
        <v>666</v>
      </c>
      <c r="G609" s="59">
        <v>100</v>
      </c>
      <c r="H609" s="55"/>
      <c r="I609" s="55">
        <v>566.29999999999995</v>
      </c>
      <c r="J609" s="73"/>
      <c r="K609" s="70">
        <v>588.70000000000005</v>
      </c>
      <c r="L609" s="70"/>
      <c r="M609" s="70"/>
      <c r="N609" s="70"/>
      <c r="O609" s="70"/>
      <c r="P609" s="55">
        <v>628.9</v>
      </c>
      <c r="Q609" s="65"/>
      <c r="R609" s="65"/>
      <c r="S609" s="65"/>
      <c r="T609" s="77">
        <v>0</v>
      </c>
      <c r="U609" s="57"/>
      <c r="V609" s="57"/>
      <c r="W609" s="57"/>
      <c r="X609" s="57">
        <v>710.8</v>
      </c>
      <c r="Y609" s="106">
        <v>791.6</v>
      </c>
      <c r="Z609" s="46"/>
      <c r="AA609" s="81"/>
    </row>
    <row r="610" spans="1:27" ht="21.75" customHeight="1">
      <c r="A610" s="56"/>
      <c r="B610" s="57" t="s">
        <v>148</v>
      </c>
      <c r="C610" s="58">
        <v>908</v>
      </c>
      <c r="D610" s="83" t="s">
        <v>200</v>
      </c>
      <c r="E610" s="83" t="s">
        <v>315</v>
      </c>
      <c r="F610" s="58" t="s">
        <v>149</v>
      </c>
      <c r="G610" s="59"/>
      <c r="H610" s="55"/>
      <c r="I610" s="55"/>
      <c r="J610" s="65">
        <f>J611</f>
        <v>0</v>
      </c>
      <c r="K610" s="65">
        <f>K611</f>
        <v>0</v>
      </c>
      <c r="L610" s="65"/>
      <c r="M610" s="65"/>
      <c r="N610" s="65"/>
      <c r="O610" s="70">
        <f t="shared" ref="O610:Y610" si="432">O611</f>
        <v>0</v>
      </c>
      <c r="P610" s="55">
        <f t="shared" si="432"/>
        <v>0</v>
      </c>
      <c r="Q610" s="70">
        <f t="shared" si="432"/>
        <v>0</v>
      </c>
      <c r="R610" s="70">
        <f t="shared" si="432"/>
        <v>0</v>
      </c>
      <c r="S610" s="70">
        <f t="shared" si="432"/>
        <v>0</v>
      </c>
      <c r="T610" s="76">
        <f t="shared" si="432"/>
        <v>0</v>
      </c>
      <c r="U610" s="55">
        <f t="shared" si="432"/>
        <v>0</v>
      </c>
      <c r="V610" s="57">
        <f t="shared" si="432"/>
        <v>0</v>
      </c>
      <c r="W610" s="57">
        <f t="shared" si="432"/>
        <v>0</v>
      </c>
      <c r="X610" s="57">
        <f t="shared" si="432"/>
        <v>0</v>
      </c>
      <c r="Y610" s="106">
        <f t="shared" si="432"/>
        <v>6.51</v>
      </c>
      <c r="Z610" s="46"/>
      <c r="AA610" s="81"/>
    </row>
    <row r="611" spans="1:27" ht="58.5" customHeight="1">
      <c r="A611" s="56"/>
      <c r="B611" s="57" t="s">
        <v>32</v>
      </c>
      <c r="C611" s="58">
        <v>908</v>
      </c>
      <c r="D611" s="83" t="s">
        <v>200</v>
      </c>
      <c r="E611" s="83" t="s">
        <v>315</v>
      </c>
      <c r="F611" s="58" t="s">
        <v>149</v>
      </c>
      <c r="G611" s="59" t="s">
        <v>33</v>
      </c>
      <c r="H611" s="55"/>
      <c r="I611" s="55"/>
      <c r="J611" s="73"/>
      <c r="K611" s="70"/>
      <c r="L611" s="70"/>
      <c r="M611" s="70"/>
      <c r="N611" s="70"/>
      <c r="O611" s="70">
        <f>J611+K611+L611+M611+N611</f>
        <v>0</v>
      </c>
      <c r="P611" s="55"/>
      <c r="Q611" s="65"/>
      <c r="R611" s="65"/>
      <c r="S611" s="65"/>
      <c r="T611" s="77">
        <f>O611+P611+Q611+R611+S611</f>
        <v>0</v>
      </c>
      <c r="U611" s="55"/>
      <c r="V611" s="57"/>
      <c r="W611" s="57"/>
      <c r="X611" s="57"/>
      <c r="Y611" s="106">
        <v>6.51</v>
      </c>
      <c r="Z611" s="46"/>
      <c r="AA611" s="81"/>
    </row>
    <row r="612" spans="1:27" ht="21.75" customHeight="1">
      <c r="A612" s="56"/>
      <c r="B612" s="57" t="s">
        <v>349</v>
      </c>
      <c r="C612" s="58">
        <v>908</v>
      </c>
      <c r="D612" s="83" t="s">
        <v>350</v>
      </c>
      <c r="E612" s="83"/>
      <c r="F612" s="58"/>
      <c r="G612" s="59"/>
      <c r="H612" s="55" t="e">
        <f>H613+H617+H630+H642</f>
        <v>#REF!</v>
      </c>
      <c r="I612" s="55" t="e">
        <f>I613+I617+I630+I642</f>
        <v>#REF!</v>
      </c>
      <c r="J612" s="73" t="e">
        <f>J613+J617+J630+J642</f>
        <v>#REF!</v>
      </c>
      <c r="K612" s="55" t="e">
        <f>K613+K617+K630+K642</f>
        <v>#REF!</v>
      </c>
      <c r="L612" s="55"/>
      <c r="M612" s="55"/>
      <c r="N612" s="55"/>
      <c r="O612" s="70" t="e">
        <f t="shared" ref="O612:Y612" si="433">O613+O617+O630+O642</f>
        <v>#REF!</v>
      </c>
      <c r="P612" s="55" t="e">
        <f t="shared" si="433"/>
        <v>#REF!</v>
      </c>
      <c r="Q612" s="70" t="e">
        <f t="shared" si="433"/>
        <v>#REF!</v>
      </c>
      <c r="R612" s="70" t="e">
        <f t="shared" si="433"/>
        <v>#REF!</v>
      </c>
      <c r="S612" s="70" t="e">
        <f t="shared" si="433"/>
        <v>#REF!</v>
      </c>
      <c r="T612" s="76">
        <f t="shared" si="433"/>
        <v>15422.5</v>
      </c>
      <c r="U612" s="76">
        <f t="shared" si="433"/>
        <v>0</v>
      </c>
      <c r="V612" s="76">
        <f t="shared" si="433"/>
        <v>0</v>
      </c>
      <c r="W612" s="76">
        <f t="shared" si="433"/>
        <v>0</v>
      </c>
      <c r="X612" s="76">
        <f t="shared" si="433"/>
        <v>16345.600000000002</v>
      </c>
      <c r="Y612" s="106">
        <f t="shared" si="433"/>
        <v>60929.211030000006</v>
      </c>
      <c r="Z612" s="46"/>
      <c r="AA612" s="81"/>
    </row>
    <row r="613" spans="1:27">
      <c r="A613" s="56"/>
      <c r="B613" s="57" t="s">
        <v>570</v>
      </c>
      <c r="C613" s="58">
        <v>908</v>
      </c>
      <c r="D613" s="83" t="s">
        <v>350</v>
      </c>
      <c r="E613" s="83" t="s">
        <v>23</v>
      </c>
      <c r="F613" s="58"/>
      <c r="G613" s="59"/>
      <c r="H613" s="55">
        <f t="shared" ref="H613:K615" si="434">H614</f>
        <v>7254.3</v>
      </c>
      <c r="I613" s="55">
        <f t="shared" si="434"/>
        <v>0</v>
      </c>
      <c r="J613" s="73">
        <f t="shared" si="434"/>
        <v>7544.4</v>
      </c>
      <c r="K613" s="55">
        <f t="shared" si="434"/>
        <v>0</v>
      </c>
      <c r="L613" s="55"/>
      <c r="M613" s="55"/>
      <c r="N613" s="55"/>
      <c r="O613" s="70">
        <f>O614</f>
        <v>8866.7999999999993</v>
      </c>
      <c r="P613" s="55">
        <f t="shared" ref="P613:Y615" si="435">P614</f>
        <v>0</v>
      </c>
      <c r="Q613" s="70">
        <f t="shared" si="435"/>
        <v>0</v>
      </c>
      <c r="R613" s="70">
        <f t="shared" si="435"/>
        <v>0</v>
      </c>
      <c r="S613" s="70">
        <f t="shared" si="435"/>
        <v>0</v>
      </c>
      <c r="T613" s="76">
        <f t="shared" si="435"/>
        <v>9339.5</v>
      </c>
      <c r="U613" s="55">
        <f t="shared" si="435"/>
        <v>0</v>
      </c>
      <c r="V613" s="55">
        <f t="shared" si="435"/>
        <v>0</v>
      </c>
      <c r="W613" s="55">
        <f t="shared" si="435"/>
        <v>0</v>
      </c>
      <c r="X613" s="55">
        <f t="shared" si="435"/>
        <v>0</v>
      </c>
      <c r="Y613" s="106">
        <f t="shared" si="435"/>
        <v>9442.5470000000005</v>
      </c>
      <c r="Z613" s="46"/>
      <c r="AA613" s="81"/>
    </row>
    <row r="614" spans="1:27" ht="37.5">
      <c r="A614" s="56"/>
      <c r="B614" s="57" t="s">
        <v>441</v>
      </c>
      <c r="C614" s="58">
        <v>908</v>
      </c>
      <c r="D614" s="83" t="s">
        <v>350</v>
      </c>
      <c r="E614" s="83" t="s">
        <v>23</v>
      </c>
      <c r="F614" s="58" t="s">
        <v>42</v>
      </c>
      <c r="G614" s="59"/>
      <c r="H614" s="55">
        <f t="shared" si="434"/>
        <v>7254.3</v>
      </c>
      <c r="I614" s="55">
        <f t="shared" si="434"/>
        <v>0</v>
      </c>
      <c r="J614" s="73">
        <f t="shared" si="434"/>
        <v>7544.4</v>
      </c>
      <c r="K614" s="55">
        <f t="shared" si="434"/>
        <v>0</v>
      </c>
      <c r="L614" s="55"/>
      <c r="M614" s="55"/>
      <c r="N614" s="55"/>
      <c r="O614" s="70">
        <f>O615</f>
        <v>8866.7999999999993</v>
      </c>
      <c r="P614" s="55">
        <f t="shared" si="435"/>
        <v>0</v>
      </c>
      <c r="Q614" s="70">
        <f t="shared" si="435"/>
        <v>0</v>
      </c>
      <c r="R614" s="70">
        <f t="shared" si="435"/>
        <v>0</v>
      </c>
      <c r="S614" s="70">
        <f t="shared" si="435"/>
        <v>0</v>
      </c>
      <c r="T614" s="76">
        <f t="shared" si="435"/>
        <v>9339.5</v>
      </c>
      <c r="U614" s="55">
        <f t="shared" si="435"/>
        <v>0</v>
      </c>
      <c r="V614" s="55">
        <f t="shared" si="435"/>
        <v>0</v>
      </c>
      <c r="W614" s="55">
        <f t="shared" si="435"/>
        <v>0</v>
      </c>
      <c r="X614" s="55">
        <f t="shared" si="435"/>
        <v>0</v>
      </c>
      <c r="Y614" s="106">
        <f t="shared" si="435"/>
        <v>9442.5470000000005</v>
      </c>
      <c r="Z614" s="46"/>
      <c r="AA614" s="81"/>
    </row>
    <row r="615" spans="1:27">
      <c r="A615" s="56"/>
      <c r="B615" s="57" t="s">
        <v>571</v>
      </c>
      <c r="C615" s="58">
        <v>908</v>
      </c>
      <c r="D615" s="83" t="s">
        <v>350</v>
      </c>
      <c r="E615" s="83" t="s">
        <v>23</v>
      </c>
      <c r="F615" s="58" t="s">
        <v>572</v>
      </c>
      <c r="G615" s="59"/>
      <c r="H615" s="55">
        <f t="shared" si="434"/>
        <v>7254.3</v>
      </c>
      <c r="I615" s="55">
        <f t="shared" si="434"/>
        <v>0</v>
      </c>
      <c r="J615" s="73">
        <f t="shared" si="434"/>
        <v>7544.4</v>
      </c>
      <c r="K615" s="55">
        <f t="shared" si="434"/>
        <v>0</v>
      </c>
      <c r="L615" s="55"/>
      <c r="M615" s="55"/>
      <c r="N615" s="55"/>
      <c r="O615" s="70">
        <f>O616</f>
        <v>8866.7999999999993</v>
      </c>
      <c r="P615" s="55">
        <f t="shared" si="435"/>
        <v>0</v>
      </c>
      <c r="Q615" s="70">
        <f t="shared" si="435"/>
        <v>0</v>
      </c>
      <c r="R615" s="70">
        <f t="shared" si="435"/>
        <v>0</v>
      </c>
      <c r="S615" s="70">
        <f t="shared" si="435"/>
        <v>0</v>
      </c>
      <c r="T615" s="76">
        <f t="shared" si="435"/>
        <v>9339.5</v>
      </c>
      <c r="U615" s="55">
        <f t="shared" si="435"/>
        <v>0</v>
      </c>
      <c r="V615" s="55">
        <f t="shared" si="435"/>
        <v>0</v>
      </c>
      <c r="W615" s="55">
        <f t="shared" si="435"/>
        <v>0</v>
      </c>
      <c r="X615" s="55">
        <f t="shared" si="435"/>
        <v>0</v>
      </c>
      <c r="Y615" s="106">
        <f t="shared" si="435"/>
        <v>9442.5470000000005</v>
      </c>
      <c r="Z615" s="46"/>
      <c r="AA615" s="81"/>
    </row>
    <row r="616" spans="1:27">
      <c r="A616" s="56"/>
      <c r="B616" s="57" t="s">
        <v>45</v>
      </c>
      <c r="C616" s="58">
        <v>908</v>
      </c>
      <c r="D616" s="83" t="s">
        <v>350</v>
      </c>
      <c r="E616" s="83" t="s">
        <v>23</v>
      </c>
      <c r="F616" s="58" t="s">
        <v>572</v>
      </c>
      <c r="G616" s="59">
        <v>300</v>
      </c>
      <c r="H616" s="55">
        <v>7254.3</v>
      </c>
      <c r="I616" s="55"/>
      <c r="J616" s="73">
        <v>7544.4</v>
      </c>
      <c r="K616" s="70"/>
      <c r="L616" s="70"/>
      <c r="M616" s="70"/>
      <c r="N616" s="70"/>
      <c r="O616" s="70">
        <v>8866.7999999999993</v>
      </c>
      <c r="P616" s="55"/>
      <c r="Q616" s="65"/>
      <c r="R616" s="65"/>
      <c r="S616" s="65"/>
      <c r="T616" s="77">
        <v>9339.5</v>
      </c>
      <c r="U616" s="55"/>
      <c r="V616" s="57"/>
      <c r="W616" s="57"/>
      <c r="X616" s="57"/>
      <c r="Y616" s="106">
        <v>9442.5470000000005</v>
      </c>
      <c r="Z616" s="46"/>
      <c r="AA616" s="81"/>
    </row>
    <row r="617" spans="1:27">
      <c r="A617" s="56"/>
      <c r="B617" s="57" t="s">
        <v>573</v>
      </c>
      <c r="C617" s="58">
        <v>908</v>
      </c>
      <c r="D617" s="83" t="s">
        <v>350</v>
      </c>
      <c r="E617" s="83" t="s">
        <v>25</v>
      </c>
      <c r="F617" s="58"/>
      <c r="G617" s="59"/>
      <c r="H617" s="55" t="e">
        <f>H618+H622</f>
        <v>#REF!</v>
      </c>
      <c r="I617" s="55" t="e">
        <f>I618+I622</f>
        <v>#REF!</v>
      </c>
      <c r="J617" s="73" t="e">
        <f>J618+J622</f>
        <v>#REF!</v>
      </c>
      <c r="K617" s="55" t="e">
        <f>K618+K622</f>
        <v>#REF!</v>
      </c>
      <c r="L617" s="55"/>
      <c r="M617" s="55"/>
      <c r="N617" s="55"/>
      <c r="O617" s="70" t="e">
        <f t="shared" ref="O617:T617" si="436">O618+O622</f>
        <v>#REF!</v>
      </c>
      <c r="P617" s="55" t="e">
        <f t="shared" si="436"/>
        <v>#REF!</v>
      </c>
      <c r="Q617" s="70" t="e">
        <f t="shared" si="436"/>
        <v>#REF!</v>
      </c>
      <c r="R617" s="70" t="e">
        <f t="shared" si="436"/>
        <v>#REF!</v>
      </c>
      <c r="S617" s="70" t="e">
        <f t="shared" si="436"/>
        <v>#REF!</v>
      </c>
      <c r="T617" s="76">
        <f t="shared" si="436"/>
        <v>2271.9</v>
      </c>
      <c r="U617" s="55">
        <f t="shared" ref="U617:X617" si="437">U618+U622</f>
        <v>0</v>
      </c>
      <c r="V617" s="55">
        <f t="shared" si="437"/>
        <v>0</v>
      </c>
      <c r="W617" s="55">
        <f t="shared" si="437"/>
        <v>0</v>
      </c>
      <c r="X617" s="55">
        <f t="shared" si="437"/>
        <v>0</v>
      </c>
      <c r="Y617" s="106">
        <f>Y618+Y622+Y627</f>
        <v>20161.74584</v>
      </c>
      <c r="Z617" s="46"/>
      <c r="AA617" s="81"/>
    </row>
    <row r="618" spans="1:27" ht="40.5" customHeight="1">
      <c r="A618" s="56"/>
      <c r="B618" s="57" t="s">
        <v>550</v>
      </c>
      <c r="C618" s="58">
        <v>908</v>
      </c>
      <c r="D618" s="83" t="s">
        <v>350</v>
      </c>
      <c r="E618" s="83" t="s">
        <v>25</v>
      </c>
      <c r="F618" s="58" t="s">
        <v>497</v>
      </c>
      <c r="G618" s="59"/>
      <c r="H618" s="55" t="e">
        <f>#REF!</f>
        <v>#REF!</v>
      </c>
      <c r="I618" s="55" t="e">
        <f>#REF!</f>
        <v>#REF!</v>
      </c>
      <c r="J618" s="73" t="e">
        <f>#REF!</f>
        <v>#REF!</v>
      </c>
      <c r="K618" s="55" t="e">
        <f>#REF!</f>
        <v>#REF!</v>
      </c>
      <c r="L618" s="55"/>
      <c r="M618" s="55"/>
      <c r="N618" s="55"/>
      <c r="O618" s="70" t="e">
        <f t="shared" ref="O618:Y618" si="438">O619</f>
        <v>#REF!</v>
      </c>
      <c r="P618" s="55" t="e">
        <f t="shared" si="438"/>
        <v>#REF!</v>
      </c>
      <c r="Q618" s="70" t="e">
        <f t="shared" si="438"/>
        <v>#REF!</v>
      </c>
      <c r="R618" s="70" t="e">
        <f t="shared" si="438"/>
        <v>#REF!</v>
      </c>
      <c r="S618" s="70" t="e">
        <f t="shared" si="438"/>
        <v>#REF!</v>
      </c>
      <c r="T618" s="76">
        <f t="shared" si="438"/>
        <v>171.9</v>
      </c>
      <c r="U618" s="55">
        <f t="shared" si="438"/>
        <v>0</v>
      </c>
      <c r="V618" s="55">
        <f t="shared" si="438"/>
        <v>0</v>
      </c>
      <c r="W618" s="55">
        <f t="shared" si="438"/>
        <v>0</v>
      </c>
      <c r="X618" s="55">
        <f t="shared" si="438"/>
        <v>0</v>
      </c>
      <c r="Y618" s="106">
        <f t="shared" si="438"/>
        <v>1891.74584</v>
      </c>
      <c r="Z618" s="46"/>
      <c r="AA618" s="81"/>
    </row>
    <row r="619" spans="1:27" ht="37.5">
      <c r="A619" s="56"/>
      <c r="B619" s="57" t="s">
        <v>574</v>
      </c>
      <c r="C619" s="58">
        <v>908</v>
      </c>
      <c r="D619" s="83" t="s">
        <v>350</v>
      </c>
      <c r="E619" s="83" t="s">
        <v>25</v>
      </c>
      <c r="F619" s="58" t="s">
        <v>575</v>
      </c>
      <c r="G619" s="59"/>
      <c r="H619" s="55" t="e">
        <f>#REF!</f>
        <v>#REF!</v>
      </c>
      <c r="I619" s="55" t="e">
        <f>#REF!</f>
        <v>#REF!</v>
      </c>
      <c r="J619" s="73" t="e">
        <f>#REF!</f>
        <v>#REF!</v>
      </c>
      <c r="K619" s="55" t="e">
        <f>#REF!</f>
        <v>#REF!</v>
      </c>
      <c r="L619" s="55"/>
      <c r="M619" s="55"/>
      <c r="N619" s="55"/>
      <c r="O619" s="70" t="e">
        <f>#REF!+O620</f>
        <v>#REF!</v>
      </c>
      <c r="P619" s="55" t="e">
        <f>#REF!+P620</f>
        <v>#REF!</v>
      </c>
      <c r="Q619" s="70" t="e">
        <f>#REF!+Q620</f>
        <v>#REF!</v>
      </c>
      <c r="R619" s="70" t="e">
        <f>#REF!+R620</f>
        <v>#REF!</v>
      </c>
      <c r="S619" s="70" t="e">
        <f>#REF!+S620</f>
        <v>#REF!</v>
      </c>
      <c r="T619" s="76">
        <f t="shared" ref="T619:Y619" si="439">T620</f>
        <v>171.9</v>
      </c>
      <c r="U619" s="76">
        <f t="shared" si="439"/>
        <v>0</v>
      </c>
      <c r="V619" s="76">
        <f t="shared" si="439"/>
        <v>0</v>
      </c>
      <c r="W619" s="76">
        <f t="shared" si="439"/>
        <v>0</v>
      </c>
      <c r="X619" s="76">
        <f t="shared" si="439"/>
        <v>0</v>
      </c>
      <c r="Y619" s="106">
        <f t="shared" si="439"/>
        <v>1891.74584</v>
      </c>
      <c r="Z619" s="46"/>
      <c r="AA619" s="81"/>
    </row>
    <row r="620" spans="1:27" ht="42.75" customHeight="1">
      <c r="A620" s="56"/>
      <c r="B620" s="57" t="s">
        <v>576</v>
      </c>
      <c r="C620" s="58">
        <v>908</v>
      </c>
      <c r="D620" s="83" t="s">
        <v>350</v>
      </c>
      <c r="E620" s="83" t="s">
        <v>25</v>
      </c>
      <c r="F620" s="58" t="s">
        <v>577</v>
      </c>
      <c r="G620" s="59"/>
      <c r="H620" s="55"/>
      <c r="I620" s="55"/>
      <c r="J620" s="73"/>
      <c r="K620" s="70"/>
      <c r="L620" s="70"/>
      <c r="M620" s="70"/>
      <c r="N620" s="70"/>
      <c r="O620" s="70">
        <f t="shared" ref="O620:Y620" si="440">O621</f>
        <v>0</v>
      </c>
      <c r="P620" s="55">
        <f t="shared" si="440"/>
        <v>0</v>
      </c>
      <c r="Q620" s="70">
        <f t="shared" si="440"/>
        <v>0</v>
      </c>
      <c r="R620" s="70">
        <f t="shared" si="440"/>
        <v>0</v>
      </c>
      <c r="S620" s="70">
        <f t="shared" si="440"/>
        <v>0</v>
      </c>
      <c r="T620" s="76">
        <f t="shared" si="440"/>
        <v>171.9</v>
      </c>
      <c r="U620" s="55">
        <f t="shared" si="440"/>
        <v>0</v>
      </c>
      <c r="V620" s="57">
        <f t="shared" si="440"/>
        <v>0</v>
      </c>
      <c r="W620" s="57">
        <f t="shared" si="440"/>
        <v>0</v>
      </c>
      <c r="X620" s="57">
        <f t="shared" si="440"/>
        <v>0</v>
      </c>
      <c r="Y620" s="106">
        <f t="shared" si="440"/>
        <v>1891.74584</v>
      </c>
      <c r="Z620" s="46"/>
      <c r="AA620" s="81"/>
    </row>
    <row r="621" spans="1:27">
      <c r="A621" s="56"/>
      <c r="B621" s="57" t="s">
        <v>45</v>
      </c>
      <c r="C621" s="58">
        <v>908</v>
      </c>
      <c r="D621" s="83" t="s">
        <v>350</v>
      </c>
      <c r="E621" s="83" t="s">
        <v>25</v>
      </c>
      <c r="F621" s="58" t="s">
        <v>577</v>
      </c>
      <c r="G621" s="59">
        <v>300</v>
      </c>
      <c r="H621" s="55"/>
      <c r="I621" s="55"/>
      <c r="J621" s="73"/>
      <c r="K621" s="70"/>
      <c r="L621" s="70"/>
      <c r="M621" s="70"/>
      <c r="N621" s="70"/>
      <c r="O621" s="70"/>
      <c r="P621" s="55">
        <v>0</v>
      </c>
      <c r="Q621" s="65"/>
      <c r="R621" s="65"/>
      <c r="S621" s="70">
        <v>0</v>
      </c>
      <c r="T621" s="77">
        <v>171.9</v>
      </c>
      <c r="U621" s="55"/>
      <c r="V621" s="57"/>
      <c r="W621" s="57"/>
      <c r="X621" s="57"/>
      <c r="Y621" s="106">
        <v>1891.74584</v>
      </c>
      <c r="Z621" s="46"/>
      <c r="AA621" s="81"/>
    </row>
    <row r="622" spans="1:27" ht="61.5" customHeight="1">
      <c r="A622" s="56"/>
      <c r="B622" s="57" t="s">
        <v>661</v>
      </c>
      <c r="C622" s="58">
        <v>908</v>
      </c>
      <c r="D622" s="83" t="s">
        <v>350</v>
      </c>
      <c r="E622" s="83" t="s">
        <v>25</v>
      </c>
      <c r="F622" s="58" t="s">
        <v>578</v>
      </c>
      <c r="G622" s="59"/>
      <c r="H622" s="55">
        <f t="shared" ref="H622:K623" si="441">H623</f>
        <v>50</v>
      </c>
      <c r="I622" s="55">
        <f t="shared" si="441"/>
        <v>0</v>
      </c>
      <c r="J622" s="73">
        <f t="shared" si="441"/>
        <v>50</v>
      </c>
      <c r="K622" s="55">
        <f t="shared" si="441"/>
        <v>0</v>
      </c>
      <c r="L622" s="55"/>
      <c r="M622" s="55"/>
      <c r="N622" s="55"/>
      <c r="O622" s="70">
        <f>O623</f>
        <v>50</v>
      </c>
      <c r="P622" s="55">
        <f t="shared" ref="P622:Y623" si="442">P623</f>
        <v>0</v>
      </c>
      <c r="Q622" s="70">
        <f t="shared" si="442"/>
        <v>0</v>
      </c>
      <c r="R622" s="70">
        <f t="shared" si="442"/>
        <v>0</v>
      </c>
      <c r="S622" s="70">
        <f t="shared" si="442"/>
        <v>0</v>
      </c>
      <c r="T622" s="76">
        <f t="shared" ref="T622:Y622" si="443">T623+T625</f>
        <v>2100</v>
      </c>
      <c r="U622" s="55">
        <f t="shared" si="443"/>
        <v>0</v>
      </c>
      <c r="V622" s="55">
        <f t="shared" si="443"/>
        <v>0</v>
      </c>
      <c r="W622" s="55">
        <f t="shared" si="443"/>
        <v>0</v>
      </c>
      <c r="X622" s="55">
        <f t="shared" si="443"/>
        <v>0</v>
      </c>
      <c r="Y622" s="106">
        <f t="shared" si="443"/>
        <v>2170</v>
      </c>
      <c r="Z622" s="46"/>
      <c r="AA622" s="81"/>
    </row>
    <row r="623" spans="1:27">
      <c r="A623" s="56"/>
      <c r="B623" s="57" t="s">
        <v>579</v>
      </c>
      <c r="C623" s="58">
        <v>908</v>
      </c>
      <c r="D623" s="83" t="s">
        <v>350</v>
      </c>
      <c r="E623" s="83" t="s">
        <v>25</v>
      </c>
      <c r="F623" s="58" t="s">
        <v>580</v>
      </c>
      <c r="G623" s="59"/>
      <c r="H623" s="55">
        <f t="shared" si="441"/>
        <v>50</v>
      </c>
      <c r="I623" s="55">
        <f t="shared" si="441"/>
        <v>0</v>
      </c>
      <c r="J623" s="73">
        <f t="shared" si="441"/>
        <v>50</v>
      </c>
      <c r="K623" s="55">
        <f t="shared" si="441"/>
        <v>0</v>
      </c>
      <c r="L623" s="55"/>
      <c r="M623" s="55"/>
      <c r="N623" s="55"/>
      <c r="O623" s="70">
        <f>O624</f>
        <v>50</v>
      </c>
      <c r="P623" s="55">
        <f t="shared" si="442"/>
        <v>0</v>
      </c>
      <c r="Q623" s="70">
        <f t="shared" si="442"/>
        <v>0</v>
      </c>
      <c r="R623" s="70">
        <f t="shared" si="442"/>
        <v>0</v>
      </c>
      <c r="S623" s="70">
        <f t="shared" si="442"/>
        <v>0</v>
      </c>
      <c r="T623" s="76">
        <f t="shared" si="442"/>
        <v>100</v>
      </c>
      <c r="U623" s="55">
        <f t="shared" si="442"/>
        <v>0</v>
      </c>
      <c r="V623" s="55">
        <f t="shared" si="442"/>
        <v>0</v>
      </c>
      <c r="W623" s="55">
        <f t="shared" si="442"/>
        <v>0</v>
      </c>
      <c r="X623" s="55">
        <f t="shared" si="442"/>
        <v>0</v>
      </c>
      <c r="Y623" s="106">
        <f t="shared" si="442"/>
        <v>20</v>
      </c>
      <c r="Z623" s="46"/>
      <c r="AA623" s="81"/>
    </row>
    <row r="624" spans="1:27">
      <c r="A624" s="56"/>
      <c r="B624" s="57" t="s">
        <v>45</v>
      </c>
      <c r="C624" s="58">
        <v>908</v>
      </c>
      <c r="D624" s="83" t="s">
        <v>350</v>
      </c>
      <c r="E624" s="83" t="s">
        <v>25</v>
      </c>
      <c r="F624" s="58" t="s">
        <v>580</v>
      </c>
      <c r="G624" s="59">
        <v>300</v>
      </c>
      <c r="H624" s="55">
        <v>50</v>
      </c>
      <c r="I624" s="55"/>
      <c r="J624" s="73">
        <v>50</v>
      </c>
      <c r="K624" s="70"/>
      <c r="L624" s="70"/>
      <c r="M624" s="70"/>
      <c r="N624" s="70"/>
      <c r="O624" s="70">
        <v>50</v>
      </c>
      <c r="P624" s="55">
        <v>0</v>
      </c>
      <c r="Q624" s="70"/>
      <c r="R624" s="70"/>
      <c r="S624" s="70"/>
      <c r="T624" s="77">
        <v>100</v>
      </c>
      <c r="U624" s="55"/>
      <c r="V624" s="57"/>
      <c r="W624" s="57"/>
      <c r="X624" s="57"/>
      <c r="Y624" s="106">
        <v>20</v>
      </c>
      <c r="Z624" s="46"/>
      <c r="AA624" s="81"/>
    </row>
    <row r="625" spans="1:27" ht="36.75" customHeight="1">
      <c r="A625" s="56"/>
      <c r="B625" s="57" t="s">
        <v>581</v>
      </c>
      <c r="C625" s="58">
        <v>908</v>
      </c>
      <c r="D625" s="83" t="s">
        <v>350</v>
      </c>
      <c r="E625" s="83" t="s">
        <v>25</v>
      </c>
      <c r="F625" s="58" t="s">
        <v>582</v>
      </c>
      <c r="G625" s="59"/>
      <c r="H625" s="55"/>
      <c r="I625" s="55"/>
      <c r="J625" s="73"/>
      <c r="K625" s="70"/>
      <c r="L625" s="70"/>
      <c r="M625" s="70"/>
      <c r="N625" s="70"/>
      <c r="O625" s="70"/>
      <c r="P625" s="55"/>
      <c r="Q625" s="70"/>
      <c r="R625" s="70"/>
      <c r="S625" s="70"/>
      <c r="T625" s="77">
        <f t="shared" ref="T625:Y625" si="444">T626</f>
        <v>2000</v>
      </c>
      <c r="U625" s="55">
        <f t="shared" si="444"/>
        <v>0</v>
      </c>
      <c r="V625" s="55">
        <f t="shared" si="444"/>
        <v>0</v>
      </c>
      <c r="W625" s="57">
        <f t="shared" si="444"/>
        <v>0</v>
      </c>
      <c r="X625" s="57">
        <f t="shared" si="444"/>
        <v>0</v>
      </c>
      <c r="Y625" s="106">
        <f t="shared" si="444"/>
        <v>2150</v>
      </c>
      <c r="Z625" s="46"/>
      <c r="AA625" s="81"/>
    </row>
    <row r="626" spans="1:27">
      <c r="A626" s="56"/>
      <c r="B626" s="57" t="s">
        <v>45</v>
      </c>
      <c r="C626" s="58">
        <v>908</v>
      </c>
      <c r="D626" s="83" t="s">
        <v>350</v>
      </c>
      <c r="E626" s="83" t="s">
        <v>25</v>
      </c>
      <c r="F626" s="58" t="s">
        <v>582</v>
      </c>
      <c r="G626" s="59">
        <v>300</v>
      </c>
      <c r="H626" s="55"/>
      <c r="I626" s="55"/>
      <c r="J626" s="73"/>
      <c r="K626" s="70"/>
      <c r="L626" s="70"/>
      <c r="M626" s="70"/>
      <c r="N626" s="70"/>
      <c r="O626" s="70"/>
      <c r="P626" s="55"/>
      <c r="Q626" s="70"/>
      <c r="R626" s="70"/>
      <c r="S626" s="70"/>
      <c r="T626" s="77">
        <v>2000</v>
      </c>
      <c r="U626" s="55"/>
      <c r="V626" s="55"/>
      <c r="W626" s="57"/>
      <c r="X626" s="57"/>
      <c r="Y626" s="106">
        <f>2000+150</f>
        <v>2150</v>
      </c>
      <c r="Z626" s="46"/>
      <c r="AA626" s="81"/>
    </row>
    <row r="627" spans="1:27" ht="37.5">
      <c r="A627" s="56"/>
      <c r="B627" s="57" t="s">
        <v>441</v>
      </c>
      <c r="C627" s="58">
        <v>908</v>
      </c>
      <c r="D627" s="83" t="s">
        <v>350</v>
      </c>
      <c r="E627" s="83" t="s">
        <v>25</v>
      </c>
      <c r="F627" s="58" t="s">
        <v>42</v>
      </c>
      <c r="G627" s="59"/>
      <c r="H627" s="55"/>
      <c r="I627" s="55"/>
      <c r="J627" s="73"/>
      <c r="K627" s="70"/>
      <c r="L627" s="70"/>
      <c r="M627" s="70"/>
      <c r="N627" s="70"/>
      <c r="O627" s="70"/>
      <c r="P627" s="55"/>
      <c r="Q627" s="70"/>
      <c r="R627" s="70"/>
      <c r="S627" s="70"/>
      <c r="T627" s="77"/>
      <c r="U627" s="55"/>
      <c r="V627" s="55"/>
      <c r="W627" s="57"/>
      <c r="X627" s="57"/>
      <c r="Y627" s="106">
        <f>Y628</f>
        <v>16100</v>
      </c>
      <c r="Z627" s="46"/>
      <c r="AA627" s="81"/>
    </row>
    <row r="628" spans="1:27">
      <c r="A628" s="56"/>
      <c r="B628" s="57" t="s">
        <v>174</v>
      </c>
      <c r="C628" s="58">
        <v>908</v>
      </c>
      <c r="D628" s="83" t="s">
        <v>350</v>
      </c>
      <c r="E628" s="83" t="s">
        <v>25</v>
      </c>
      <c r="F628" s="58" t="s">
        <v>175</v>
      </c>
      <c r="G628" s="59"/>
      <c r="H628" s="55"/>
      <c r="I628" s="55"/>
      <c r="J628" s="73"/>
      <c r="K628" s="70"/>
      <c r="L628" s="70"/>
      <c r="M628" s="70"/>
      <c r="N628" s="70"/>
      <c r="O628" s="70"/>
      <c r="P628" s="55"/>
      <c r="Q628" s="70"/>
      <c r="R628" s="70"/>
      <c r="S628" s="70"/>
      <c r="T628" s="77"/>
      <c r="U628" s="55"/>
      <c r="V628" s="55"/>
      <c r="W628" s="57"/>
      <c r="X628" s="57"/>
      <c r="Y628" s="106">
        <f>Y629</f>
        <v>16100</v>
      </c>
      <c r="Z628" s="46"/>
      <c r="AA628" s="81"/>
    </row>
    <row r="629" spans="1:27">
      <c r="A629" s="56"/>
      <c r="B629" s="57" t="s">
        <v>45</v>
      </c>
      <c r="C629" s="58">
        <v>908</v>
      </c>
      <c r="D629" s="83" t="s">
        <v>350</v>
      </c>
      <c r="E629" s="83" t="s">
        <v>25</v>
      </c>
      <c r="F629" s="58" t="s">
        <v>175</v>
      </c>
      <c r="G629" s="59">
        <v>300</v>
      </c>
      <c r="H629" s="55"/>
      <c r="I629" s="55"/>
      <c r="J629" s="73"/>
      <c r="K629" s="70"/>
      <c r="L629" s="70"/>
      <c r="M629" s="70"/>
      <c r="N629" s="70"/>
      <c r="O629" s="70"/>
      <c r="P629" s="55"/>
      <c r="Q629" s="70"/>
      <c r="R629" s="70"/>
      <c r="S629" s="70"/>
      <c r="T629" s="77"/>
      <c r="U629" s="55"/>
      <c r="V629" s="55"/>
      <c r="W629" s="57"/>
      <c r="X629" s="57"/>
      <c r="Y629" s="106">
        <f>14900+1200</f>
        <v>16100</v>
      </c>
      <c r="Z629" s="46"/>
      <c r="AA629" s="81"/>
    </row>
    <row r="630" spans="1:27">
      <c r="A630" s="56"/>
      <c r="B630" s="57" t="s">
        <v>351</v>
      </c>
      <c r="C630" s="58">
        <v>908</v>
      </c>
      <c r="D630" s="83" t="s">
        <v>350</v>
      </c>
      <c r="E630" s="83" t="s">
        <v>140</v>
      </c>
      <c r="F630" s="58"/>
      <c r="G630" s="59"/>
      <c r="H630" s="55">
        <f>H631</f>
        <v>1494.9</v>
      </c>
      <c r="I630" s="55">
        <f>I631</f>
        <v>8443.6999999999989</v>
      </c>
      <c r="J630" s="73">
        <f>J631</f>
        <v>2469.9</v>
      </c>
      <c r="K630" s="55">
        <f>K631</f>
        <v>9222</v>
      </c>
      <c r="L630" s="55"/>
      <c r="M630" s="55"/>
      <c r="N630" s="55"/>
      <c r="O630" s="70">
        <f t="shared" ref="O630:Y630" si="445">O631</f>
        <v>2701.7</v>
      </c>
      <c r="P630" s="55">
        <f t="shared" si="445"/>
        <v>15049.400000000001</v>
      </c>
      <c r="Q630" s="70">
        <f t="shared" si="445"/>
        <v>0</v>
      </c>
      <c r="R630" s="70">
        <f t="shared" si="445"/>
        <v>0</v>
      </c>
      <c r="S630" s="70">
        <f t="shared" si="445"/>
        <v>0</v>
      </c>
      <c r="T630" s="76">
        <f t="shared" si="445"/>
        <v>3811.1</v>
      </c>
      <c r="U630" s="55">
        <f t="shared" si="445"/>
        <v>0</v>
      </c>
      <c r="V630" s="55">
        <f t="shared" si="445"/>
        <v>0</v>
      </c>
      <c r="W630" s="55">
        <f t="shared" si="445"/>
        <v>0</v>
      </c>
      <c r="X630" s="55">
        <f t="shared" si="445"/>
        <v>15694.400000000001</v>
      </c>
      <c r="Y630" s="106">
        <f t="shared" si="445"/>
        <v>30532.894260000001</v>
      </c>
      <c r="Z630" s="46"/>
      <c r="AA630" s="81"/>
    </row>
    <row r="631" spans="1:27" ht="42" customHeight="1">
      <c r="A631" s="56"/>
      <c r="B631" s="57" t="s">
        <v>523</v>
      </c>
      <c r="C631" s="58">
        <v>908</v>
      </c>
      <c r="D631" s="83" t="s">
        <v>350</v>
      </c>
      <c r="E631" s="83" t="s">
        <v>140</v>
      </c>
      <c r="F631" s="58" t="s">
        <v>524</v>
      </c>
      <c r="G631" s="59"/>
      <c r="H631" s="55">
        <f>H632+H638</f>
        <v>1494.9</v>
      </c>
      <c r="I631" s="55">
        <f>I632+I638</f>
        <v>8443.6999999999989</v>
      </c>
      <c r="J631" s="73">
        <f>J632+J638</f>
        <v>2469.9</v>
      </c>
      <c r="K631" s="55">
        <f>K632+K638</f>
        <v>9222</v>
      </c>
      <c r="L631" s="55"/>
      <c r="M631" s="55"/>
      <c r="N631" s="55"/>
      <c r="O631" s="70">
        <f t="shared" ref="O631:T631" si="446">O632+O638</f>
        <v>2701.7</v>
      </c>
      <c r="P631" s="55">
        <f t="shared" si="446"/>
        <v>15049.400000000001</v>
      </c>
      <c r="Q631" s="70">
        <f t="shared" si="446"/>
        <v>0</v>
      </c>
      <c r="R631" s="70">
        <f t="shared" si="446"/>
        <v>0</v>
      </c>
      <c r="S631" s="70">
        <f t="shared" si="446"/>
        <v>0</v>
      </c>
      <c r="T631" s="76">
        <f t="shared" si="446"/>
        <v>3811.1</v>
      </c>
      <c r="U631" s="55">
        <f t="shared" ref="U631:Y631" si="447">U632+U638</f>
        <v>0</v>
      </c>
      <c r="V631" s="55">
        <f t="shared" si="447"/>
        <v>0</v>
      </c>
      <c r="W631" s="55">
        <f t="shared" si="447"/>
        <v>0</v>
      </c>
      <c r="X631" s="55">
        <f t="shared" si="447"/>
        <v>15694.400000000001</v>
      </c>
      <c r="Y631" s="106">
        <f t="shared" si="447"/>
        <v>30532.894260000001</v>
      </c>
      <c r="Z631" s="46"/>
      <c r="AA631" s="81"/>
    </row>
    <row r="632" spans="1:27">
      <c r="A632" s="56"/>
      <c r="B632" s="57" t="s">
        <v>583</v>
      </c>
      <c r="C632" s="58">
        <v>908</v>
      </c>
      <c r="D632" s="83" t="s">
        <v>350</v>
      </c>
      <c r="E632" s="83" t="s">
        <v>140</v>
      </c>
      <c r="F632" s="58" t="s">
        <v>584</v>
      </c>
      <c r="G632" s="59"/>
      <c r="H632" s="55">
        <f t="shared" ref="H632:K636" si="448">H633</f>
        <v>1494.9</v>
      </c>
      <c r="I632" s="55">
        <f t="shared" si="448"/>
        <v>1894.8</v>
      </c>
      <c r="J632" s="73">
        <f t="shared" si="448"/>
        <v>2469.9</v>
      </c>
      <c r="K632" s="55">
        <f t="shared" si="448"/>
        <v>3442.1</v>
      </c>
      <c r="L632" s="55"/>
      <c r="M632" s="55"/>
      <c r="N632" s="55"/>
      <c r="O632" s="70">
        <f>O633</f>
        <v>2701.7</v>
      </c>
      <c r="P632" s="55">
        <f t="shared" ref="P632:Y636" si="449">P633</f>
        <v>9371.1</v>
      </c>
      <c r="Q632" s="70">
        <f t="shared" si="449"/>
        <v>0</v>
      </c>
      <c r="R632" s="70">
        <f t="shared" si="449"/>
        <v>0</v>
      </c>
      <c r="S632" s="70">
        <f t="shared" si="449"/>
        <v>0</v>
      </c>
      <c r="T632" s="76">
        <f t="shared" si="449"/>
        <v>3811.1</v>
      </c>
      <c r="U632" s="55">
        <f t="shared" si="449"/>
        <v>0</v>
      </c>
      <c r="V632" s="55">
        <f t="shared" si="449"/>
        <v>0</v>
      </c>
      <c r="W632" s="55">
        <f t="shared" si="449"/>
        <v>0</v>
      </c>
      <c r="X632" s="55">
        <f t="shared" si="449"/>
        <v>7966.2000000000007</v>
      </c>
      <c r="Y632" s="106">
        <f t="shared" si="449"/>
        <v>16560.520260000001</v>
      </c>
      <c r="Z632" s="46"/>
      <c r="AA632" s="81"/>
    </row>
    <row r="633" spans="1:27" ht="41.25" customHeight="1">
      <c r="A633" s="56"/>
      <c r="B633" s="57" t="s">
        <v>585</v>
      </c>
      <c r="C633" s="58">
        <v>908</v>
      </c>
      <c r="D633" s="83" t="s">
        <v>350</v>
      </c>
      <c r="E633" s="83" t="s">
        <v>140</v>
      </c>
      <c r="F633" s="58" t="s">
        <v>586</v>
      </c>
      <c r="G633" s="59"/>
      <c r="H633" s="55">
        <f>H636</f>
        <v>1494.9</v>
      </c>
      <c r="I633" s="55">
        <f>I636</f>
        <v>1894.8</v>
      </c>
      <c r="J633" s="73">
        <f>J636</f>
        <v>2469.9</v>
      </c>
      <c r="K633" s="55">
        <f>K636</f>
        <v>3442.1</v>
      </c>
      <c r="L633" s="55"/>
      <c r="M633" s="55"/>
      <c r="N633" s="55"/>
      <c r="O633" s="70">
        <f>O636</f>
        <v>2701.7</v>
      </c>
      <c r="P633" s="55">
        <f>P636</f>
        <v>9371.1</v>
      </c>
      <c r="Q633" s="70">
        <f>Q636</f>
        <v>0</v>
      </c>
      <c r="R633" s="70">
        <f>R636</f>
        <v>0</v>
      </c>
      <c r="S633" s="70">
        <f>S636</f>
        <v>0</v>
      </c>
      <c r="T633" s="76">
        <f t="shared" ref="T633:Y633" si="450">T636+T634</f>
        <v>3811.1</v>
      </c>
      <c r="U633" s="55">
        <f t="shared" si="450"/>
        <v>0</v>
      </c>
      <c r="V633" s="55">
        <f t="shared" si="450"/>
        <v>0</v>
      </c>
      <c r="W633" s="55">
        <f t="shared" si="450"/>
        <v>0</v>
      </c>
      <c r="X633" s="55">
        <f t="shared" si="450"/>
        <v>7966.2000000000007</v>
      </c>
      <c r="Y633" s="106">
        <f t="shared" si="450"/>
        <v>16560.520260000001</v>
      </c>
      <c r="Z633" s="46"/>
      <c r="AA633" s="81"/>
    </row>
    <row r="634" spans="1:27" ht="38.25" customHeight="1">
      <c r="A634" s="56"/>
      <c r="B634" s="57" t="s">
        <v>587</v>
      </c>
      <c r="C634" s="58">
        <v>908</v>
      </c>
      <c r="D634" s="83" t="s">
        <v>350</v>
      </c>
      <c r="E634" s="83" t="s">
        <v>140</v>
      </c>
      <c r="F634" s="58" t="s">
        <v>588</v>
      </c>
      <c r="G634" s="59"/>
      <c r="H634" s="55"/>
      <c r="I634" s="55"/>
      <c r="J634" s="73"/>
      <c r="K634" s="55"/>
      <c r="L634" s="55"/>
      <c r="M634" s="55"/>
      <c r="N634" s="55"/>
      <c r="O634" s="70"/>
      <c r="P634" s="55"/>
      <c r="Q634" s="70"/>
      <c r="R634" s="70"/>
      <c r="S634" s="70"/>
      <c r="T634" s="76">
        <f t="shared" ref="T634:Y634" si="451">T635</f>
        <v>0</v>
      </c>
      <c r="U634" s="55">
        <f t="shared" si="451"/>
        <v>0</v>
      </c>
      <c r="V634" s="55">
        <f t="shared" si="451"/>
        <v>0</v>
      </c>
      <c r="W634" s="55">
        <f t="shared" si="451"/>
        <v>0</v>
      </c>
      <c r="X634" s="55">
        <f t="shared" si="451"/>
        <v>0</v>
      </c>
      <c r="Y634" s="106">
        <f t="shared" si="451"/>
        <v>1074.798</v>
      </c>
      <c r="Z634" s="46"/>
      <c r="AA634" s="81"/>
    </row>
    <row r="635" spans="1:27">
      <c r="A635" s="56"/>
      <c r="B635" s="57" t="s">
        <v>45</v>
      </c>
      <c r="C635" s="58">
        <v>908</v>
      </c>
      <c r="D635" s="83" t="s">
        <v>350</v>
      </c>
      <c r="E635" s="83" t="s">
        <v>140</v>
      </c>
      <c r="F635" s="58" t="s">
        <v>588</v>
      </c>
      <c r="G635" s="59">
        <v>300</v>
      </c>
      <c r="H635" s="55"/>
      <c r="I635" s="55"/>
      <c r="J635" s="73"/>
      <c r="K635" s="55"/>
      <c r="L635" s="55"/>
      <c r="M635" s="55"/>
      <c r="N635" s="55"/>
      <c r="O635" s="70"/>
      <c r="P635" s="55"/>
      <c r="Q635" s="70"/>
      <c r="R635" s="70"/>
      <c r="S635" s="70"/>
      <c r="T635" s="76"/>
      <c r="U635" s="55"/>
      <c r="V635" s="55"/>
      <c r="W635" s="55"/>
      <c r="X635" s="55"/>
      <c r="Y635" s="106">
        <v>1074.798</v>
      </c>
      <c r="Z635" s="46"/>
      <c r="AA635" s="81"/>
    </row>
    <row r="636" spans="1:27" ht="41.25" customHeight="1">
      <c r="A636" s="56"/>
      <c r="B636" s="57" t="s">
        <v>589</v>
      </c>
      <c r="C636" s="58">
        <v>908</v>
      </c>
      <c r="D636" s="83" t="s">
        <v>350</v>
      </c>
      <c r="E636" s="83" t="s">
        <v>140</v>
      </c>
      <c r="F636" s="58" t="s">
        <v>590</v>
      </c>
      <c r="G636" s="59"/>
      <c r="H636" s="55">
        <f t="shared" si="448"/>
        <v>1494.9</v>
      </c>
      <c r="I636" s="55">
        <f t="shared" si="448"/>
        <v>1894.8</v>
      </c>
      <c r="J636" s="73">
        <f t="shared" si="448"/>
        <v>2469.9</v>
      </c>
      <c r="K636" s="55">
        <f t="shared" si="448"/>
        <v>3442.1</v>
      </c>
      <c r="L636" s="55"/>
      <c r="M636" s="55"/>
      <c r="N636" s="55"/>
      <c r="O636" s="70">
        <f>O637</f>
        <v>2701.7</v>
      </c>
      <c r="P636" s="55">
        <f t="shared" si="449"/>
        <v>9371.1</v>
      </c>
      <c r="Q636" s="70">
        <f t="shared" si="449"/>
        <v>0</v>
      </c>
      <c r="R636" s="70">
        <f t="shared" si="449"/>
        <v>0</v>
      </c>
      <c r="S636" s="70">
        <f t="shared" si="449"/>
        <v>0</v>
      </c>
      <c r="T636" s="76">
        <f t="shared" si="449"/>
        <v>3811.1</v>
      </c>
      <c r="U636" s="55">
        <f t="shared" si="449"/>
        <v>0</v>
      </c>
      <c r="V636" s="55">
        <f t="shared" si="449"/>
        <v>0</v>
      </c>
      <c r="W636" s="55">
        <f t="shared" si="449"/>
        <v>0</v>
      </c>
      <c r="X636" s="55">
        <f t="shared" si="449"/>
        <v>7966.2000000000007</v>
      </c>
      <c r="Y636" s="106">
        <f t="shared" si="449"/>
        <v>15485.72226</v>
      </c>
      <c r="Z636" s="46"/>
      <c r="AA636" s="81"/>
    </row>
    <row r="637" spans="1:27">
      <c r="A637" s="56"/>
      <c r="B637" s="57" t="s">
        <v>45</v>
      </c>
      <c r="C637" s="58">
        <v>908</v>
      </c>
      <c r="D637" s="83" t="s">
        <v>350</v>
      </c>
      <c r="E637" s="83" t="s">
        <v>140</v>
      </c>
      <c r="F637" s="58" t="s">
        <v>590</v>
      </c>
      <c r="G637" s="59">
        <v>300</v>
      </c>
      <c r="H637" s="55">
        <v>1494.9</v>
      </c>
      <c r="I637" s="55">
        <v>1894.8</v>
      </c>
      <c r="J637" s="73">
        <v>2469.9</v>
      </c>
      <c r="K637" s="70">
        <v>3442.1</v>
      </c>
      <c r="L637" s="70"/>
      <c r="M637" s="70"/>
      <c r="N637" s="70"/>
      <c r="O637" s="70">
        <f>3701.7-1000</f>
        <v>2701.7</v>
      </c>
      <c r="P637" s="55">
        <v>9371.1</v>
      </c>
      <c r="Q637" s="65"/>
      <c r="R637" s="65"/>
      <c r="S637" s="70">
        <v>0</v>
      </c>
      <c r="T637" s="77">
        <v>3811.1</v>
      </c>
      <c r="U637" s="57"/>
      <c r="V637" s="57"/>
      <c r="W637" s="57"/>
      <c r="X637" s="57">
        <f>3471.9+4494.3</f>
        <v>7966.2000000000007</v>
      </c>
      <c r="Y637" s="106">
        <v>15485.72226</v>
      </c>
      <c r="Z637" s="46"/>
      <c r="AA637" s="81"/>
    </row>
    <row r="638" spans="1:27" ht="56.25">
      <c r="A638" s="56"/>
      <c r="B638" s="57" t="s">
        <v>591</v>
      </c>
      <c r="C638" s="58">
        <v>908</v>
      </c>
      <c r="D638" s="83" t="s">
        <v>350</v>
      </c>
      <c r="E638" s="83" t="s">
        <v>140</v>
      </c>
      <c r="F638" s="58" t="s">
        <v>592</v>
      </c>
      <c r="G638" s="59"/>
      <c r="H638" s="55">
        <f t="shared" ref="H638:K640" si="452">H639</f>
        <v>0</v>
      </c>
      <c r="I638" s="55">
        <f t="shared" si="452"/>
        <v>6548.9</v>
      </c>
      <c r="J638" s="73">
        <f t="shared" si="452"/>
        <v>0</v>
      </c>
      <c r="K638" s="55">
        <f t="shared" si="452"/>
        <v>5779.9</v>
      </c>
      <c r="L638" s="55"/>
      <c r="M638" s="55"/>
      <c r="N638" s="55"/>
      <c r="O638" s="70">
        <f>O639</f>
        <v>0</v>
      </c>
      <c r="P638" s="55">
        <f t="shared" ref="P638:Y640" si="453">P639</f>
        <v>5678.3</v>
      </c>
      <c r="Q638" s="70">
        <f t="shared" si="453"/>
        <v>0</v>
      </c>
      <c r="R638" s="70">
        <f t="shared" si="453"/>
        <v>0</v>
      </c>
      <c r="S638" s="70">
        <f t="shared" si="453"/>
        <v>0</v>
      </c>
      <c r="T638" s="76"/>
      <c r="U638" s="55">
        <f t="shared" si="453"/>
        <v>0</v>
      </c>
      <c r="V638" s="55">
        <f t="shared" si="453"/>
        <v>0</v>
      </c>
      <c r="W638" s="55">
        <f t="shared" si="453"/>
        <v>0</v>
      </c>
      <c r="X638" s="55">
        <f t="shared" si="453"/>
        <v>7728.2</v>
      </c>
      <c r="Y638" s="106">
        <f t="shared" si="453"/>
        <v>13972.374</v>
      </c>
      <c r="Z638" s="46"/>
      <c r="AA638" s="81"/>
    </row>
    <row r="639" spans="1:27" ht="60" customHeight="1">
      <c r="A639" s="56"/>
      <c r="B639" s="57" t="s">
        <v>593</v>
      </c>
      <c r="C639" s="58">
        <v>908</v>
      </c>
      <c r="D639" s="83" t="s">
        <v>350</v>
      </c>
      <c r="E639" s="83" t="s">
        <v>140</v>
      </c>
      <c r="F639" s="58" t="s">
        <v>594</v>
      </c>
      <c r="G639" s="59"/>
      <c r="H639" s="55">
        <f t="shared" si="452"/>
        <v>0</v>
      </c>
      <c r="I639" s="55">
        <f t="shared" si="452"/>
        <v>6548.9</v>
      </c>
      <c r="J639" s="73">
        <f t="shared" si="452"/>
        <v>0</v>
      </c>
      <c r="K639" s="55">
        <f t="shared" si="452"/>
        <v>5779.9</v>
      </c>
      <c r="L639" s="55"/>
      <c r="M639" s="55"/>
      <c r="N639" s="55"/>
      <c r="O639" s="70">
        <f>O640</f>
        <v>0</v>
      </c>
      <c r="P639" s="55">
        <f t="shared" si="453"/>
        <v>5678.3</v>
      </c>
      <c r="Q639" s="70">
        <f t="shared" si="453"/>
        <v>0</v>
      </c>
      <c r="R639" s="70">
        <f t="shared" si="453"/>
        <v>0</v>
      </c>
      <c r="S639" s="70">
        <f t="shared" si="453"/>
        <v>0</v>
      </c>
      <c r="T639" s="76">
        <f t="shared" si="453"/>
        <v>0</v>
      </c>
      <c r="U639" s="55">
        <f t="shared" si="453"/>
        <v>0</v>
      </c>
      <c r="V639" s="55">
        <f t="shared" si="453"/>
        <v>0</v>
      </c>
      <c r="W639" s="55">
        <f t="shared" si="453"/>
        <v>0</v>
      </c>
      <c r="X639" s="55">
        <f t="shared" si="453"/>
        <v>7728.2</v>
      </c>
      <c r="Y639" s="106">
        <f t="shared" si="453"/>
        <v>13972.374</v>
      </c>
      <c r="Z639" s="46"/>
      <c r="AA639" s="81"/>
    </row>
    <row r="640" spans="1:27" ht="75.75" customHeight="1">
      <c r="A640" s="56"/>
      <c r="B640" s="57" t="s">
        <v>595</v>
      </c>
      <c r="C640" s="58">
        <v>908</v>
      </c>
      <c r="D640" s="83" t="s">
        <v>350</v>
      </c>
      <c r="E640" s="83" t="s">
        <v>140</v>
      </c>
      <c r="F640" s="58" t="s">
        <v>596</v>
      </c>
      <c r="G640" s="59"/>
      <c r="H640" s="55">
        <f t="shared" si="452"/>
        <v>0</v>
      </c>
      <c r="I640" s="55">
        <f t="shared" si="452"/>
        <v>6548.9</v>
      </c>
      <c r="J640" s="73">
        <f t="shared" si="452"/>
        <v>0</v>
      </c>
      <c r="K640" s="55">
        <f t="shared" si="452"/>
        <v>5779.9</v>
      </c>
      <c r="L640" s="55"/>
      <c r="M640" s="55"/>
      <c r="N640" s="55"/>
      <c r="O640" s="70">
        <f>O641</f>
        <v>0</v>
      </c>
      <c r="P640" s="55">
        <f t="shared" si="453"/>
        <v>5678.3</v>
      </c>
      <c r="Q640" s="70">
        <f t="shared" si="453"/>
        <v>0</v>
      </c>
      <c r="R640" s="70">
        <f t="shared" si="453"/>
        <v>0</v>
      </c>
      <c r="S640" s="70">
        <f t="shared" si="453"/>
        <v>0</v>
      </c>
      <c r="T640" s="76">
        <f t="shared" si="453"/>
        <v>0</v>
      </c>
      <c r="U640" s="55">
        <f t="shared" si="453"/>
        <v>0</v>
      </c>
      <c r="V640" s="55">
        <f t="shared" si="453"/>
        <v>0</v>
      </c>
      <c r="W640" s="55">
        <f t="shared" si="453"/>
        <v>0</v>
      </c>
      <c r="X640" s="55">
        <f t="shared" si="453"/>
        <v>7728.2</v>
      </c>
      <c r="Y640" s="106">
        <f t="shared" si="453"/>
        <v>13972.374</v>
      </c>
      <c r="Z640" s="46"/>
      <c r="AA640" s="81"/>
    </row>
    <row r="641" spans="1:27" ht="37.5">
      <c r="A641" s="56"/>
      <c r="B641" s="57" t="s">
        <v>535</v>
      </c>
      <c r="C641" s="58">
        <v>908</v>
      </c>
      <c r="D641" s="83" t="s">
        <v>350</v>
      </c>
      <c r="E641" s="83" t="s">
        <v>140</v>
      </c>
      <c r="F641" s="58" t="s">
        <v>596</v>
      </c>
      <c r="G641" s="59">
        <v>400</v>
      </c>
      <c r="H641" s="55"/>
      <c r="I641" s="55">
        <v>6548.9</v>
      </c>
      <c r="J641" s="73"/>
      <c r="K641" s="70">
        <v>5779.9</v>
      </c>
      <c r="L641" s="70"/>
      <c r="M641" s="70"/>
      <c r="N641" s="70"/>
      <c r="O641" s="70"/>
      <c r="P641" s="55">
        <v>5678.3</v>
      </c>
      <c r="Q641" s="65"/>
      <c r="R641" s="65"/>
      <c r="S641" s="70">
        <v>0</v>
      </c>
      <c r="T641" s="77">
        <v>0</v>
      </c>
      <c r="U641" s="55"/>
      <c r="V641" s="55"/>
      <c r="W641" s="57"/>
      <c r="X641" s="55">
        <v>7728.2</v>
      </c>
      <c r="Y641" s="106">
        <v>13972.374</v>
      </c>
      <c r="Z641" s="46"/>
      <c r="AA641" s="81"/>
    </row>
    <row r="642" spans="1:27">
      <c r="A642" s="56"/>
      <c r="B642" s="57" t="s">
        <v>597</v>
      </c>
      <c r="C642" s="58">
        <v>908</v>
      </c>
      <c r="D642" s="83" t="s">
        <v>350</v>
      </c>
      <c r="E642" s="83" t="s">
        <v>163</v>
      </c>
      <c r="F642" s="58"/>
      <c r="G642" s="59"/>
      <c r="H642" s="55">
        <f t="shared" ref="H642:K646" si="454">H643</f>
        <v>0</v>
      </c>
      <c r="I642" s="55">
        <f t="shared" si="454"/>
        <v>557</v>
      </c>
      <c r="J642" s="73">
        <f t="shared" si="454"/>
        <v>0</v>
      </c>
      <c r="K642" s="55">
        <f t="shared" si="454"/>
        <v>579.20000000000005</v>
      </c>
      <c r="L642" s="55"/>
      <c r="M642" s="55"/>
      <c r="N642" s="55"/>
      <c r="O642" s="70">
        <f t="shared" ref="O642:Y642" si="455">O643</f>
        <v>0</v>
      </c>
      <c r="P642" s="55">
        <f t="shared" si="455"/>
        <v>605.1</v>
      </c>
      <c r="Q642" s="70">
        <f t="shared" si="455"/>
        <v>0</v>
      </c>
      <c r="R642" s="70">
        <f t="shared" si="455"/>
        <v>0</v>
      </c>
      <c r="S642" s="70">
        <f t="shared" si="455"/>
        <v>0</v>
      </c>
      <c r="T642" s="76">
        <f t="shared" si="455"/>
        <v>0</v>
      </c>
      <c r="U642" s="55">
        <f t="shared" si="455"/>
        <v>0</v>
      </c>
      <c r="V642" s="55">
        <f t="shared" si="455"/>
        <v>0</v>
      </c>
      <c r="W642" s="55">
        <f t="shared" si="455"/>
        <v>0</v>
      </c>
      <c r="X642" s="55">
        <f t="shared" si="455"/>
        <v>651.20000000000005</v>
      </c>
      <c r="Y642" s="106">
        <f t="shared" si="455"/>
        <v>792.02392999999995</v>
      </c>
      <c r="Z642" s="46"/>
      <c r="AA642" s="81"/>
    </row>
    <row r="643" spans="1:27">
      <c r="A643" s="56"/>
      <c r="B643" s="57" t="s">
        <v>26</v>
      </c>
      <c r="C643" s="58">
        <v>908</v>
      </c>
      <c r="D643" s="83" t="s">
        <v>350</v>
      </c>
      <c r="E643" s="83" t="s">
        <v>163</v>
      </c>
      <c r="F643" s="58" t="s">
        <v>27</v>
      </c>
      <c r="G643" s="59"/>
      <c r="H643" s="55">
        <f>H646</f>
        <v>0</v>
      </c>
      <c r="I643" s="55">
        <f>I646</f>
        <v>557</v>
      </c>
      <c r="J643" s="73">
        <f>J646</f>
        <v>0</v>
      </c>
      <c r="K643" s="55">
        <f>K646+K648</f>
        <v>579.20000000000005</v>
      </c>
      <c r="L643" s="55"/>
      <c r="M643" s="55"/>
      <c r="N643" s="55"/>
      <c r="O643" s="70">
        <f t="shared" ref="O643:T643" si="456">O646+O648</f>
        <v>0</v>
      </c>
      <c r="P643" s="55">
        <f t="shared" si="456"/>
        <v>605.1</v>
      </c>
      <c r="Q643" s="70">
        <f t="shared" si="456"/>
        <v>0</v>
      </c>
      <c r="R643" s="70">
        <f t="shared" si="456"/>
        <v>0</v>
      </c>
      <c r="S643" s="70">
        <f t="shared" si="456"/>
        <v>0</v>
      </c>
      <c r="T643" s="76">
        <f t="shared" si="456"/>
        <v>0</v>
      </c>
      <c r="U643" s="55">
        <f t="shared" ref="U643:X643" si="457">U646+U648</f>
        <v>0</v>
      </c>
      <c r="V643" s="55">
        <f t="shared" si="457"/>
        <v>0</v>
      </c>
      <c r="W643" s="55">
        <f t="shared" si="457"/>
        <v>0</v>
      </c>
      <c r="X643" s="55">
        <f t="shared" si="457"/>
        <v>651.20000000000005</v>
      </c>
      <c r="Y643" s="106">
        <f>Y646+Y648+Y644</f>
        <v>792.02392999999995</v>
      </c>
      <c r="Z643" s="46"/>
      <c r="AA643" s="81"/>
    </row>
    <row r="644" spans="1:27" ht="56.25">
      <c r="A644" s="56"/>
      <c r="B644" s="57" t="s">
        <v>659</v>
      </c>
      <c r="C644" s="58">
        <v>908</v>
      </c>
      <c r="D644" s="83" t="s">
        <v>350</v>
      </c>
      <c r="E644" s="83" t="s">
        <v>163</v>
      </c>
      <c r="F644" s="58" t="s">
        <v>660</v>
      </c>
      <c r="G644" s="59"/>
      <c r="H644" s="55"/>
      <c r="I644" s="55"/>
      <c r="J644" s="73"/>
      <c r="K644" s="55"/>
      <c r="L644" s="55"/>
      <c r="M644" s="55"/>
      <c r="N644" s="55"/>
      <c r="O644" s="70"/>
      <c r="P644" s="55"/>
      <c r="Q644" s="70"/>
      <c r="R644" s="70"/>
      <c r="S644" s="70"/>
      <c r="T644" s="76"/>
      <c r="U644" s="55"/>
      <c r="V644" s="55"/>
      <c r="W644" s="55"/>
      <c r="X644" s="55"/>
      <c r="Y644" s="106">
        <f>Y645</f>
        <v>66.723929999999996</v>
      </c>
      <c r="Z644" s="46"/>
      <c r="AA644" s="81"/>
    </row>
    <row r="645" spans="1:27" ht="56.25">
      <c r="A645" s="56"/>
      <c r="B645" s="57" t="s">
        <v>32</v>
      </c>
      <c r="C645" s="58">
        <v>908</v>
      </c>
      <c r="D645" s="83" t="s">
        <v>350</v>
      </c>
      <c r="E645" s="83" t="s">
        <v>163</v>
      </c>
      <c r="F645" s="58" t="s">
        <v>660</v>
      </c>
      <c r="G645" s="59">
        <v>100</v>
      </c>
      <c r="H645" s="55"/>
      <c r="I645" s="55"/>
      <c r="J645" s="73"/>
      <c r="K645" s="55"/>
      <c r="L645" s="55"/>
      <c r="M645" s="55"/>
      <c r="N645" s="55"/>
      <c r="O645" s="70"/>
      <c r="P645" s="55"/>
      <c r="Q645" s="70"/>
      <c r="R645" s="70"/>
      <c r="S645" s="70"/>
      <c r="T645" s="76"/>
      <c r="U645" s="55"/>
      <c r="V645" s="55"/>
      <c r="W645" s="55"/>
      <c r="X645" s="55"/>
      <c r="Y645" s="106">
        <v>66.723929999999996</v>
      </c>
      <c r="Z645" s="46"/>
      <c r="AA645" s="81"/>
    </row>
    <row r="646" spans="1:27" ht="42" customHeight="1">
      <c r="A646" s="56"/>
      <c r="B646" s="57" t="s">
        <v>598</v>
      </c>
      <c r="C646" s="58">
        <v>908</v>
      </c>
      <c r="D646" s="83" t="s">
        <v>350</v>
      </c>
      <c r="E646" s="83" t="s">
        <v>163</v>
      </c>
      <c r="F646" s="58" t="s">
        <v>667</v>
      </c>
      <c r="G646" s="59"/>
      <c r="H646" s="55">
        <f t="shared" si="454"/>
        <v>0</v>
      </c>
      <c r="I646" s="55">
        <f t="shared" si="454"/>
        <v>557</v>
      </c>
      <c r="J646" s="73">
        <f t="shared" si="454"/>
        <v>0</v>
      </c>
      <c r="K646" s="55">
        <f t="shared" si="454"/>
        <v>579.20000000000005</v>
      </c>
      <c r="L646" s="55"/>
      <c r="M646" s="55"/>
      <c r="N646" s="55"/>
      <c r="O646" s="70">
        <f t="shared" ref="O646:Y646" si="458">O647</f>
        <v>0</v>
      </c>
      <c r="P646" s="55">
        <f t="shared" si="458"/>
        <v>605.1</v>
      </c>
      <c r="Q646" s="70">
        <f t="shared" si="458"/>
        <v>0</v>
      </c>
      <c r="R646" s="70">
        <f t="shared" si="458"/>
        <v>0</v>
      </c>
      <c r="S646" s="70">
        <f t="shared" si="458"/>
        <v>0</v>
      </c>
      <c r="T646" s="76">
        <f t="shared" si="458"/>
        <v>0</v>
      </c>
      <c r="U646" s="55">
        <f t="shared" si="458"/>
        <v>0</v>
      </c>
      <c r="V646" s="55">
        <f t="shared" si="458"/>
        <v>0</v>
      </c>
      <c r="W646" s="55">
        <f t="shared" si="458"/>
        <v>0</v>
      </c>
      <c r="X646" s="55">
        <f t="shared" si="458"/>
        <v>651.20000000000005</v>
      </c>
      <c r="Y646" s="106">
        <f t="shared" si="458"/>
        <v>725.3</v>
      </c>
      <c r="Z646" s="46"/>
      <c r="AA646" s="81"/>
    </row>
    <row r="647" spans="1:27" ht="59.25" customHeight="1">
      <c r="A647" s="56"/>
      <c r="B647" s="57" t="s">
        <v>32</v>
      </c>
      <c r="C647" s="58">
        <v>908</v>
      </c>
      <c r="D647" s="83" t="s">
        <v>350</v>
      </c>
      <c r="E647" s="83" t="s">
        <v>163</v>
      </c>
      <c r="F647" s="58" t="s">
        <v>667</v>
      </c>
      <c r="G647" s="59">
        <v>100</v>
      </c>
      <c r="H647" s="55"/>
      <c r="I647" s="55">
        <v>557</v>
      </c>
      <c r="J647" s="73"/>
      <c r="K647" s="70">
        <v>579.20000000000005</v>
      </c>
      <c r="L647" s="70"/>
      <c r="M647" s="70"/>
      <c r="N647" s="70"/>
      <c r="O647" s="70"/>
      <c r="P647" s="55">
        <v>605.1</v>
      </c>
      <c r="Q647" s="65"/>
      <c r="R647" s="65"/>
      <c r="S647" s="65"/>
      <c r="T647" s="77"/>
      <c r="U647" s="57"/>
      <c r="V647" s="57"/>
      <c r="W647" s="57"/>
      <c r="X647" s="57">
        <v>651.20000000000005</v>
      </c>
      <c r="Y647" s="106">
        <v>725.3</v>
      </c>
      <c r="Z647" s="46"/>
      <c r="AA647" s="81"/>
    </row>
    <row r="648" spans="1:27" hidden="1">
      <c r="A648" s="56"/>
      <c r="B648" s="57" t="s">
        <v>148</v>
      </c>
      <c r="C648" s="58">
        <v>908</v>
      </c>
      <c r="D648" s="83" t="s">
        <v>350</v>
      </c>
      <c r="E648" s="83" t="s">
        <v>163</v>
      </c>
      <c r="F648" s="58" t="s">
        <v>149</v>
      </c>
      <c r="G648" s="59"/>
      <c r="H648" s="55"/>
      <c r="I648" s="55"/>
      <c r="J648" s="73"/>
      <c r="K648" s="70">
        <f>K649</f>
        <v>0</v>
      </c>
      <c r="L648" s="70"/>
      <c r="M648" s="70"/>
      <c r="N648" s="70"/>
      <c r="O648" s="70">
        <f t="shared" ref="O648:T648" si="459">O649</f>
        <v>0</v>
      </c>
      <c r="P648" s="55">
        <f t="shared" si="459"/>
        <v>0</v>
      </c>
      <c r="Q648" s="70">
        <f t="shared" si="459"/>
        <v>0</v>
      </c>
      <c r="R648" s="70">
        <f t="shared" si="459"/>
        <v>0</v>
      </c>
      <c r="S648" s="70">
        <f t="shared" si="459"/>
        <v>0</v>
      </c>
      <c r="T648" s="76">
        <f t="shared" si="459"/>
        <v>0</v>
      </c>
      <c r="U648" s="57"/>
      <c r="V648" s="57"/>
      <c r="W648" s="57"/>
      <c r="X648" s="57"/>
      <c r="Y648" s="106">
        <f>Y649</f>
        <v>0</v>
      </c>
      <c r="Z648" s="46"/>
      <c r="AA648" s="81"/>
    </row>
    <row r="649" spans="1:27" ht="56.25" hidden="1">
      <c r="A649" s="56"/>
      <c r="B649" s="57" t="s">
        <v>32</v>
      </c>
      <c r="C649" s="58">
        <v>908</v>
      </c>
      <c r="D649" s="83" t="s">
        <v>350</v>
      </c>
      <c r="E649" s="83" t="s">
        <v>163</v>
      </c>
      <c r="F649" s="58" t="s">
        <v>149</v>
      </c>
      <c r="G649" s="59" t="s">
        <v>33</v>
      </c>
      <c r="H649" s="55"/>
      <c r="I649" s="55"/>
      <c r="J649" s="73"/>
      <c r="K649" s="70"/>
      <c r="L649" s="70"/>
      <c r="M649" s="70"/>
      <c r="N649" s="70"/>
      <c r="O649" s="70">
        <f>N649+K649</f>
        <v>0</v>
      </c>
      <c r="P649" s="55"/>
      <c r="Q649" s="65"/>
      <c r="R649" s="65"/>
      <c r="S649" s="65"/>
      <c r="T649" s="77">
        <f>O649+P649+Q649+R649+S649</f>
        <v>0</v>
      </c>
      <c r="U649" s="57"/>
      <c r="V649" s="57"/>
      <c r="W649" s="57"/>
      <c r="X649" s="57"/>
      <c r="Y649" s="106">
        <v>0</v>
      </c>
      <c r="Z649" s="46"/>
      <c r="AA649" s="81"/>
    </row>
    <row r="650" spans="1:27">
      <c r="A650" s="56"/>
      <c r="B650" s="57" t="s">
        <v>599</v>
      </c>
      <c r="C650" s="58">
        <v>908</v>
      </c>
      <c r="D650" s="83" t="s">
        <v>173</v>
      </c>
      <c r="E650" s="83"/>
      <c r="F650" s="58"/>
      <c r="G650" s="59"/>
      <c r="H650" s="55" t="e">
        <f>H651</f>
        <v>#REF!</v>
      </c>
      <c r="I650" s="55" t="e">
        <f>I651</f>
        <v>#REF!</v>
      </c>
      <c r="J650" s="73" t="e">
        <f>J651+J661</f>
        <v>#REF!</v>
      </c>
      <c r="K650" s="55" t="e">
        <f>K651+K661</f>
        <v>#REF!</v>
      </c>
      <c r="L650" s="55"/>
      <c r="M650" s="55"/>
      <c r="N650" s="55"/>
      <c r="O650" s="70" t="e">
        <f t="shared" ref="O650:T650" si="460">O651+O661</f>
        <v>#REF!</v>
      </c>
      <c r="P650" s="55" t="e">
        <f t="shared" si="460"/>
        <v>#REF!</v>
      </c>
      <c r="Q650" s="70" t="e">
        <f t="shared" si="460"/>
        <v>#REF!</v>
      </c>
      <c r="R650" s="70" t="e">
        <f t="shared" si="460"/>
        <v>#REF!</v>
      </c>
      <c r="S650" s="70" t="e">
        <f t="shared" si="460"/>
        <v>#REF!</v>
      </c>
      <c r="T650" s="76">
        <f t="shared" si="460"/>
        <v>830</v>
      </c>
      <c r="U650" s="55">
        <f t="shared" ref="U650:Y650" si="461">U651+U661</f>
        <v>0</v>
      </c>
      <c r="V650" s="55">
        <f t="shared" si="461"/>
        <v>0</v>
      </c>
      <c r="W650" s="55">
        <f t="shared" si="461"/>
        <v>0</v>
      </c>
      <c r="X650" s="55">
        <f t="shared" si="461"/>
        <v>0</v>
      </c>
      <c r="Y650" s="106">
        <f t="shared" si="461"/>
        <v>9302.8601599999984</v>
      </c>
      <c r="Z650" s="46"/>
      <c r="AA650" s="81"/>
    </row>
    <row r="651" spans="1:27">
      <c r="A651" s="56"/>
      <c r="B651" s="57" t="s">
        <v>600</v>
      </c>
      <c r="C651" s="58">
        <v>908</v>
      </c>
      <c r="D651" s="83" t="s">
        <v>173</v>
      </c>
      <c r="E651" s="83" t="s">
        <v>23</v>
      </c>
      <c r="F651" s="58"/>
      <c r="G651" s="59"/>
      <c r="H651" s="55" t="e">
        <f>H652+#REF!+H656</f>
        <v>#REF!</v>
      </c>
      <c r="I651" s="55" t="e">
        <f>I652+#REF!+I656</f>
        <v>#REF!</v>
      </c>
      <c r="J651" s="73" t="e">
        <f>J652+#REF!+J656</f>
        <v>#REF!</v>
      </c>
      <c r="K651" s="55" t="e">
        <f>K652+#REF!+K656</f>
        <v>#REF!</v>
      </c>
      <c r="L651" s="55"/>
      <c r="M651" s="55"/>
      <c r="N651" s="55"/>
      <c r="O651" s="70" t="e">
        <f>O652+#REF!+O656</f>
        <v>#REF!</v>
      </c>
      <c r="P651" s="55" t="e">
        <f>P652+#REF!+P656</f>
        <v>#REF!</v>
      </c>
      <c r="Q651" s="70" t="e">
        <f>Q652+#REF!+Q656</f>
        <v>#REF!</v>
      </c>
      <c r="R651" s="70" t="e">
        <f>R652+#REF!+R656</f>
        <v>#REF!</v>
      </c>
      <c r="S651" s="70" t="e">
        <f>S652+#REF!+S656</f>
        <v>#REF!</v>
      </c>
      <c r="T651" s="76">
        <f t="shared" ref="T651:Y651" si="462">T652+T656</f>
        <v>830</v>
      </c>
      <c r="U651" s="76">
        <f t="shared" si="462"/>
        <v>0</v>
      </c>
      <c r="V651" s="76">
        <f t="shared" si="462"/>
        <v>0</v>
      </c>
      <c r="W651" s="76">
        <f t="shared" si="462"/>
        <v>0</v>
      </c>
      <c r="X651" s="76">
        <f t="shared" si="462"/>
        <v>0</v>
      </c>
      <c r="Y651" s="106">
        <f t="shared" si="462"/>
        <v>440.24700000000001</v>
      </c>
      <c r="Z651" s="46"/>
      <c r="AA651" s="81"/>
    </row>
    <row r="652" spans="1:27" ht="37.5">
      <c r="A652" s="56"/>
      <c r="B652" s="57" t="s">
        <v>601</v>
      </c>
      <c r="C652" s="58">
        <v>908</v>
      </c>
      <c r="D652" s="83" t="s">
        <v>173</v>
      </c>
      <c r="E652" s="83" t="s">
        <v>23</v>
      </c>
      <c r="F652" s="58" t="s">
        <v>602</v>
      </c>
      <c r="G652" s="59"/>
      <c r="H652" s="55">
        <f>H653</f>
        <v>260</v>
      </c>
      <c r="I652" s="55">
        <f>I653</f>
        <v>0</v>
      </c>
      <c r="J652" s="73">
        <f>J653</f>
        <v>260</v>
      </c>
      <c r="K652" s="55">
        <f>K653</f>
        <v>0</v>
      </c>
      <c r="L652" s="55"/>
      <c r="M652" s="55"/>
      <c r="N652" s="55"/>
      <c r="O652" s="70">
        <f t="shared" ref="O652:Y652" si="463">O653</f>
        <v>540</v>
      </c>
      <c r="P652" s="55">
        <f t="shared" si="463"/>
        <v>0</v>
      </c>
      <c r="Q652" s="70">
        <f t="shared" si="463"/>
        <v>0</v>
      </c>
      <c r="R652" s="70">
        <f t="shared" si="463"/>
        <v>0</v>
      </c>
      <c r="S652" s="70">
        <f t="shared" si="463"/>
        <v>0</v>
      </c>
      <c r="T652" s="76">
        <f t="shared" si="463"/>
        <v>790</v>
      </c>
      <c r="U652" s="55">
        <f t="shared" si="463"/>
        <v>0</v>
      </c>
      <c r="V652" s="55">
        <f t="shared" si="463"/>
        <v>0</v>
      </c>
      <c r="W652" s="55">
        <f t="shared" si="463"/>
        <v>0</v>
      </c>
      <c r="X652" s="55">
        <f t="shared" si="463"/>
        <v>0</v>
      </c>
      <c r="Y652" s="106">
        <f t="shared" si="463"/>
        <v>240</v>
      </c>
      <c r="Z652" s="46"/>
      <c r="AA652" s="81"/>
    </row>
    <row r="653" spans="1:27" ht="18" customHeight="1">
      <c r="A653" s="56"/>
      <c r="B653" s="57" t="s">
        <v>603</v>
      </c>
      <c r="C653" s="58">
        <v>908</v>
      </c>
      <c r="D653" s="83" t="s">
        <v>173</v>
      </c>
      <c r="E653" s="83" t="s">
        <v>23</v>
      </c>
      <c r="F653" s="58" t="s">
        <v>604</v>
      </c>
      <c r="G653" s="59"/>
      <c r="H653" s="55">
        <f>H655</f>
        <v>260</v>
      </c>
      <c r="I653" s="55">
        <f>I655</f>
        <v>0</v>
      </c>
      <c r="J653" s="73">
        <f>J655+J654</f>
        <v>260</v>
      </c>
      <c r="K653" s="55">
        <f>K655+K654</f>
        <v>0</v>
      </c>
      <c r="L653" s="55"/>
      <c r="M653" s="55"/>
      <c r="N653" s="55"/>
      <c r="O653" s="70">
        <f t="shared" ref="O653:T653" si="464">O654+O655</f>
        <v>540</v>
      </c>
      <c r="P653" s="55">
        <f t="shared" si="464"/>
        <v>0</v>
      </c>
      <c r="Q653" s="70">
        <f t="shared" si="464"/>
        <v>0</v>
      </c>
      <c r="R653" s="70">
        <f t="shared" si="464"/>
        <v>0</v>
      </c>
      <c r="S653" s="70">
        <f t="shared" si="464"/>
        <v>0</v>
      </c>
      <c r="T653" s="76">
        <f t="shared" si="464"/>
        <v>790</v>
      </c>
      <c r="U653" s="55">
        <f t="shared" ref="U653:Y653" si="465">U654+U655</f>
        <v>0</v>
      </c>
      <c r="V653" s="55">
        <f t="shared" si="465"/>
        <v>0</v>
      </c>
      <c r="W653" s="55">
        <f t="shared" si="465"/>
        <v>0</v>
      </c>
      <c r="X653" s="55">
        <f t="shared" si="465"/>
        <v>0</v>
      </c>
      <c r="Y653" s="106">
        <f t="shared" si="465"/>
        <v>240</v>
      </c>
      <c r="Z653" s="46"/>
      <c r="AA653" s="81"/>
    </row>
    <row r="654" spans="1:27" ht="57" customHeight="1">
      <c r="A654" s="56"/>
      <c r="B654" s="57" t="s">
        <v>32</v>
      </c>
      <c r="C654" s="58">
        <v>908</v>
      </c>
      <c r="D654" s="83" t="s">
        <v>173</v>
      </c>
      <c r="E654" s="83" t="s">
        <v>23</v>
      </c>
      <c r="F654" s="58" t="s">
        <v>604</v>
      </c>
      <c r="G654" s="59">
        <v>100</v>
      </c>
      <c r="H654" s="55"/>
      <c r="I654" s="55"/>
      <c r="J654" s="73"/>
      <c r="K654" s="70"/>
      <c r="L654" s="70"/>
      <c r="M654" s="70"/>
      <c r="N654" s="70"/>
      <c r="O654" s="70"/>
      <c r="P654" s="55"/>
      <c r="Q654" s="65"/>
      <c r="R654" s="65"/>
      <c r="S654" s="65"/>
      <c r="T654" s="77"/>
      <c r="U654" s="55">
        <v>0</v>
      </c>
      <c r="V654" s="57"/>
      <c r="W654" s="57"/>
      <c r="X654" s="57"/>
      <c r="Y654" s="106">
        <v>19.148</v>
      </c>
      <c r="Z654" s="46"/>
      <c r="AA654" s="81"/>
    </row>
    <row r="655" spans="1:27" ht="24" customHeight="1">
      <c r="A655" s="56"/>
      <c r="B655" s="57" t="s">
        <v>36</v>
      </c>
      <c r="C655" s="58">
        <v>908</v>
      </c>
      <c r="D655" s="83" t="s">
        <v>173</v>
      </c>
      <c r="E655" s="83" t="s">
        <v>23</v>
      </c>
      <c r="F655" s="58" t="s">
        <v>604</v>
      </c>
      <c r="G655" s="59">
        <v>200</v>
      </c>
      <c r="H655" s="55">
        <v>260</v>
      </c>
      <c r="I655" s="55"/>
      <c r="J655" s="73">
        <v>260</v>
      </c>
      <c r="K655" s="70"/>
      <c r="L655" s="70"/>
      <c r="M655" s="70"/>
      <c r="N655" s="70"/>
      <c r="O655" s="70">
        <f>440+100</f>
        <v>540</v>
      </c>
      <c r="P655" s="55"/>
      <c r="Q655" s="65"/>
      <c r="R655" s="65"/>
      <c r="S655" s="65"/>
      <c r="T655" s="77">
        <v>790</v>
      </c>
      <c r="U655" s="55">
        <v>0</v>
      </c>
      <c r="V655" s="57"/>
      <c r="W655" s="57"/>
      <c r="X655" s="57"/>
      <c r="Y655" s="106">
        <v>220.852</v>
      </c>
      <c r="Z655" s="46"/>
      <c r="AA655" s="81"/>
    </row>
    <row r="656" spans="1:27" ht="40.5" customHeight="1">
      <c r="A656" s="56"/>
      <c r="B656" s="57" t="s">
        <v>605</v>
      </c>
      <c r="C656" s="58">
        <v>908</v>
      </c>
      <c r="D656" s="83" t="s">
        <v>173</v>
      </c>
      <c r="E656" s="83" t="s">
        <v>23</v>
      </c>
      <c r="F656" s="58" t="s">
        <v>283</v>
      </c>
      <c r="G656" s="59"/>
      <c r="H656" s="55">
        <f>H659+H657</f>
        <v>40</v>
      </c>
      <c r="I656" s="55">
        <f>I659+I657</f>
        <v>0</v>
      </c>
      <c r="J656" s="73">
        <f>J659+J657</f>
        <v>40</v>
      </c>
      <c r="K656" s="55">
        <f>K659+K657</f>
        <v>0</v>
      </c>
      <c r="L656" s="55"/>
      <c r="M656" s="55"/>
      <c r="N656" s="55"/>
      <c r="O656" s="70">
        <f t="shared" ref="O656:T656" si="466">O657+O659</f>
        <v>40</v>
      </c>
      <c r="P656" s="55">
        <f t="shared" si="466"/>
        <v>0</v>
      </c>
      <c r="Q656" s="70">
        <f t="shared" si="466"/>
        <v>0</v>
      </c>
      <c r="R656" s="70">
        <f t="shared" si="466"/>
        <v>0</v>
      </c>
      <c r="S656" s="70">
        <f t="shared" si="466"/>
        <v>0</v>
      </c>
      <c r="T656" s="76">
        <f t="shared" si="466"/>
        <v>40</v>
      </c>
      <c r="U656" s="55">
        <f t="shared" ref="U656:Y656" si="467">U657+U659</f>
        <v>0</v>
      </c>
      <c r="V656" s="55">
        <f t="shared" si="467"/>
        <v>0</v>
      </c>
      <c r="W656" s="55">
        <f t="shared" si="467"/>
        <v>0</v>
      </c>
      <c r="X656" s="55">
        <f t="shared" si="467"/>
        <v>0</v>
      </c>
      <c r="Y656" s="106">
        <f t="shared" si="467"/>
        <v>200.24700000000001</v>
      </c>
      <c r="Z656" s="46"/>
      <c r="AA656" s="81"/>
    </row>
    <row r="657" spans="1:27" ht="21.75" customHeight="1">
      <c r="A657" s="56"/>
      <c r="B657" s="57" t="s">
        <v>606</v>
      </c>
      <c r="C657" s="58">
        <v>908</v>
      </c>
      <c r="D657" s="83" t="s">
        <v>173</v>
      </c>
      <c r="E657" s="83" t="s">
        <v>23</v>
      </c>
      <c r="F657" s="58" t="s">
        <v>607</v>
      </c>
      <c r="G657" s="59"/>
      <c r="H657" s="55">
        <f>H658</f>
        <v>25</v>
      </c>
      <c r="I657" s="55">
        <f>I658</f>
        <v>0</v>
      </c>
      <c r="J657" s="73">
        <f>J658</f>
        <v>25</v>
      </c>
      <c r="K657" s="55">
        <f>K658</f>
        <v>0</v>
      </c>
      <c r="L657" s="55"/>
      <c r="M657" s="55"/>
      <c r="N657" s="55"/>
      <c r="O657" s="70">
        <f t="shared" ref="O657:Y657" si="468">O658</f>
        <v>25</v>
      </c>
      <c r="P657" s="55">
        <f t="shared" si="468"/>
        <v>0</v>
      </c>
      <c r="Q657" s="70">
        <f t="shared" si="468"/>
        <v>0</v>
      </c>
      <c r="R657" s="70">
        <f t="shared" si="468"/>
        <v>0</v>
      </c>
      <c r="S657" s="70">
        <f t="shared" si="468"/>
        <v>0</v>
      </c>
      <c r="T657" s="76">
        <f t="shared" si="468"/>
        <v>32</v>
      </c>
      <c r="U657" s="55">
        <f t="shared" si="468"/>
        <v>0</v>
      </c>
      <c r="V657" s="55">
        <f t="shared" si="468"/>
        <v>0</v>
      </c>
      <c r="W657" s="55">
        <f t="shared" si="468"/>
        <v>0</v>
      </c>
      <c r="X657" s="55">
        <f t="shared" si="468"/>
        <v>0</v>
      </c>
      <c r="Y657" s="106">
        <f t="shared" si="468"/>
        <v>63.145000000000003</v>
      </c>
      <c r="Z657" s="46"/>
      <c r="AA657" s="81"/>
    </row>
    <row r="658" spans="1:27" ht="24.75" customHeight="1">
      <c r="A658" s="56"/>
      <c r="B658" s="57" t="s">
        <v>36</v>
      </c>
      <c r="C658" s="58">
        <v>908</v>
      </c>
      <c r="D658" s="83" t="s">
        <v>173</v>
      </c>
      <c r="E658" s="83" t="s">
        <v>23</v>
      </c>
      <c r="F658" s="58" t="s">
        <v>607</v>
      </c>
      <c r="G658" s="59">
        <v>200</v>
      </c>
      <c r="H658" s="55">
        <v>25</v>
      </c>
      <c r="I658" s="55"/>
      <c r="J658" s="73">
        <v>25</v>
      </c>
      <c r="K658" s="70"/>
      <c r="L658" s="70"/>
      <c r="M658" s="70"/>
      <c r="N658" s="70"/>
      <c r="O658" s="70">
        <v>25</v>
      </c>
      <c r="P658" s="55"/>
      <c r="Q658" s="65"/>
      <c r="R658" s="65"/>
      <c r="S658" s="65"/>
      <c r="T658" s="77">
        <v>32</v>
      </c>
      <c r="U658" s="55">
        <v>0</v>
      </c>
      <c r="V658" s="57"/>
      <c r="W658" s="57"/>
      <c r="X658" s="57"/>
      <c r="Y658" s="106">
        <v>63.145000000000003</v>
      </c>
      <c r="Z658" s="46"/>
      <c r="AA658" s="81"/>
    </row>
    <row r="659" spans="1:27">
      <c r="A659" s="56"/>
      <c r="B659" s="57" t="s">
        <v>608</v>
      </c>
      <c r="C659" s="58">
        <v>908</v>
      </c>
      <c r="D659" s="83" t="s">
        <v>173</v>
      </c>
      <c r="E659" s="83" t="s">
        <v>23</v>
      </c>
      <c r="F659" s="58" t="s">
        <v>609</v>
      </c>
      <c r="G659" s="59"/>
      <c r="H659" s="55">
        <f>H660</f>
        <v>15</v>
      </c>
      <c r="I659" s="55">
        <f>I660</f>
        <v>0</v>
      </c>
      <c r="J659" s="73">
        <f>J660</f>
        <v>15</v>
      </c>
      <c r="K659" s="55">
        <f>K660</f>
        <v>0</v>
      </c>
      <c r="L659" s="55"/>
      <c r="M659" s="55"/>
      <c r="N659" s="55"/>
      <c r="O659" s="70">
        <f t="shared" ref="O659:Y659" si="469">O660</f>
        <v>15</v>
      </c>
      <c r="P659" s="55">
        <f t="shared" si="469"/>
        <v>0</v>
      </c>
      <c r="Q659" s="70">
        <f t="shared" si="469"/>
        <v>0</v>
      </c>
      <c r="R659" s="70">
        <f t="shared" si="469"/>
        <v>0</v>
      </c>
      <c r="S659" s="70">
        <f t="shared" si="469"/>
        <v>0</v>
      </c>
      <c r="T659" s="76">
        <f t="shared" si="469"/>
        <v>8</v>
      </c>
      <c r="U659" s="55">
        <f t="shared" si="469"/>
        <v>0</v>
      </c>
      <c r="V659" s="55">
        <f t="shared" si="469"/>
        <v>0</v>
      </c>
      <c r="W659" s="55">
        <f t="shared" si="469"/>
        <v>0</v>
      </c>
      <c r="X659" s="55">
        <f t="shared" si="469"/>
        <v>0</v>
      </c>
      <c r="Y659" s="106">
        <f t="shared" si="469"/>
        <v>137.102</v>
      </c>
      <c r="Z659" s="46"/>
      <c r="AA659" s="81"/>
    </row>
    <row r="660" spans="1:27" ht="22.5" customHeight="1">
      <c r="A660" s="56"/>
      <c r="B660" s="57" t="s">
        <v>36</v>
      </c>
      <c r="C660" s="58">
        <v>908</v>
      </c>
      <c r="D660" s="83" t="s">
        <v>173</v>
      </c>
      <c r="E660" s="83" t="s">
        <v>23</v>
      </c>
      <c r="F660" s="58" t="s">
        <v>609</v>
      </c>
      <c r="G660" s="59">
        <v>200</v>
      </c>
      <c r="H660" s="55">
        <v>15</v>
      </c>
      <c r="I660" s="55"/>
      <c r="J660" s="73">
        <v>15</v>
      </c>
      <c r="K660" s="70"/>
      <c r="L660" s="70"/>
      <c r="M660" s="70"/>
      <c r="N660" s="70"/>
      <c r="O660" s="70">
        <v>15</v>
      </c>
      <c r="P660" s="55"/>
      <c r="Q660" s="65"/>
      <c r="R660" s="65"/>
      <c r="S660" s="65"/>
      <c r="T660" s="77">
        <v>8</v>
      </c>
      <c r="U660" s="55">
        <v>0</v>
      </c>
      <c r="V660" s="57"/>
      <c r="W660" s="57"/>
      <c r="X660" s="57"/>
      <c r="Y660" s="106">
        <v>137.102</v>
      </c>
      <c r="Z660" s="46"/>
      <c r="AA660" s="81"/>
    </row>
    <row r="661" spans="1:27">
      <c r="A661" s="56"/>
      <c r="B661" s="57" t="s">
        <v>610</v>
      </c>
      <c r="C661" s="58">
        <v>908</v>
      </c>
      <c r="D661" s="83" t="s">
        <v>173</v>
      </c>
      <c r="E661" s="83" t="s">
        <v>193</v>
      </c>
      <c r="F661" s="58"/>
      <c r="G661" s="59"/>
      <c r="H661" s="55"/>
      <c r="I661" s="55"/>
      <c r="J661" s="73">
        <f t="shared" ref="J661:T661" si="470">J662</f>
        <v>121.9</v>
      </c>
      <c r="K661" s="55">
        <f t="shared" si="470"/>
        <v>0</v>
      </c>
      <c r="L661" s="73">
        <f t="shared" si="470"/>
        <v>0</v>
      </c>
      <c r="M661" s="73">
        <f t="shared" si="470"/>
        <v>0</v>
      </c>
      <c r="N661" s="73">
        <f t="shared" si="470"/>
        <v>0</v>
      </c>
      <c r="O661" s="70">
        <f t="shared" si="470"/>
        <v>0</v>
      </c>
      <c r="P661" s="55">
        <f t="shared" si="470"/>
        <v>0</v>
      </c>
      <c r="Q661" s="70">
        <f t="shared" si="470"/>
        <v>0</v>
      </c>
      <c r="R661" s="70">
        <f t="shared" si="470"/>
        <v>0</v>
      </c>
      <c r="S661" s="70">
        <f t="shared" si="470"/>
        <v>0</v>
      </c>
      <c r="T661" s="76">
        <f t="shared" si="470"/>
        <v>0</v>
      </c>
      <c r="U661" s="57"/>
      <c r="V661" s="57"/>
      <c r="W661" s="57"/>
      <c r="X661" s="57"/>
      <c r="Y661" s="106">
        <f>Y662</f>
        <v>8862.613159999999</v>
      </c>
      <c r="Z661" s="46"/>
      <c r="AA661" s="81"/>
    </row>
    <row r="662" spans="1:27" ht="37.5">
      <c r="A662" s="56"/>
      <c r="B662" s="57" t="s">
        <v>601</v>
      </c>
      <c r="C662" s="58">
        <v>908</v>
      </c>
      <c r="D662" s="83" t="s">
        <v>173</v>
      </c>
      <c r="E662" s="83" t="s">
        <v>193</v>
      </c>
      <c r="F662" s="58" t="s">
        <v>602</v>
      </c>
      <c r="G662" s="59"/>
      <c r="H662" s="55"/>
      <c r="I662" s="55"/>
      <c r="J662" s="73">
        <v>121.9</v>
      </c>
      <c r="K662" s="55">
        <v>0</v>
      </c>
      <c r="L662" s="73">
        <v>0</v>
      </c>
      <c r="M662" s="73">
        <v>0</v>
      </c>
      <c r="N662" s="73">
        <v>0</v>
      </c>
      <c r="O662" s="70">
        <v>0</v>
      </c>
      <c r="P662" s="55">
        <v>0</v>
      </c>
      <c r="Q662" s="70">
        <v>0</v>
      </c>
      <c r="R662" s="70">
        <v>0</v>
      </c>
      <c r="S662" s="70">
        <v>0</v>
      </c>
      <c r="T662" s="76">
        <v>0</v>
      </c>
      <c r="U662" s="57"/>
      <c r="V662" s="57"/>
      <c r="W662" s="57"/>
      <c r="X662" s="57"/>
      <c r="Y662" s="106">
        <f>Y663</f>
        <v>8862.613159999999</v>
      </c>
      <c r="Z662" s="46"/>
      <c r="AA662" s="81"/>
    </row>
    <row r="663" spans="1:27" ht="39" customHeight="1">
      <c r="A663" s="56"/>
      <c r="B663" s="57" t="s">
        <v>611</v>
      </c>
      <c r="C663" s="58">
        <v>908</v>
      </c>
      <c r="D663" s="83" t="s">
        <v>173</v>
      </c>
      <c r="E663" s="83" t="s">
        <v>193</v>
      </c>
      <c r="F663" s="58" t="s">
        <v>612</v>
      </c>
      <c r="G663" s="59"/>
      <c r="H663" s="55"/>
      <c r="I663" s="55"/>
      <c r="J663" s="73">
        <v>121.9</v>
      </c>
      <c r="K663" s="55">
        <v>0</v>
      </c>
      <c r="L663" s="73">
        <v>0</v>
      </c>
      <c r="M663" s="73">
        <v>0</v>
      </c>
      <c r="N663" s="73">
        <v>0</v>
      </c>
      <c r="O663" s="70">
        <v>0</v>
      </c>
      <c r="P663" s="55">
        <v>0</v>
      </c>
      <c r="Q663" s="70">
        <v>0</v>
      </c>
      <c r="R663" s="70">
        <v>0</v>
      </c>
      <c r="S663" s="70">
        <v>0</v>
      </c>
      <c r="T663" s="76">
        <v>0</v>
      </c>
      <c r="U663" s="57"/>
      <c r="V663" s="57"/>
      <c r="W663" s="57"/>
      <c r="X663" s="57"/>
      <c r="Y663" s="106">
        <f>Y664</f>
        <v>8862.613159999999</v>
      </c>
      <c r="Z663" s="46"/>
      <c r="AA663" s="81"/>
    </row>
    <row r="664" spans="1:27" ht="25.5" customHeight="1">
      <c r="A664" s="56"/>
      <c r="B664" s="57" t="s">
        <v>152</v>
      </c>
      <c r="C664" s="58">
        <v>908</v>
      </c>
      <c r="D664" s="83" t="s">
        <v>173</v>
      </c>
      <c r="E664" s="83" t="s">
        <v>193</v>
      </c>
      <c r="F664" s="58" t="s">
        <v>613</v>
      </c>
      <c r="G664" s="59"/>
      <c r="H664" s="55"/>
      <c r="I664" s="55"/>
      <c r="J664" s="73">
        <v>121.9</v>
      </c>
      <c r="K664" s="70"/>
      <c r="L664" s="70"/>
      <c r="M664" s="70"/>
      <c r="N664" s="70"/>
      <c r="O664" s="70">
        <v>0</v>
      </c>
      <c r="P664" s="55">
        <v>0</v>
      </c>
      <c r="Q664" s="70">
        <v>0</v>
      </c>
      <c r="R664" s="65"/>
      <c r="S664" s="65"/>
      <c r="T664" s="77">
        <v>0</v>
      </c>
      <c r="U664" s="57"/>
      <c r="V664" s="57"/>
      <c r="W664" s="57"/>
      <c r="X664" s="57"/>
      <c r="Y664" s="106">
        <f>Y665+Y666+Y667</f>
        <v>8862.613159999999</v>
      </c>
      <c r="Z664" s="46"/>
      <c r="AA664" s="81"/>
    </row>
    <row r="665" spans="1:27" ht="60" customHeight="1">
      <c r="A665" s="56"/>
      <c r="B665" s="57" t="s">
        <v>32</v>
      </c>
      <c r="C665" s="58">
        <v>908</v>
      </c>
      <c r="D665" s="83" t="s">
        <v>173</v>
      </c>
      <c r="E665" s="83" t="s">
        <v>193</v>
      </c>
      <c r="F665" s="58" t="s">
        <v>613</v>
      </c>
      <c r="G665" s="59">
        <v>100</v>
      </c>
      <c r="H665" s="55"/>
      <c r="I665" s="55"/>
      <c r="J665" s="73"/>
      <c r="K665" s="70"/>
      <c r="L665" s="70"/>
      <c r="M665" s="70"/>
      <c r="N665" s="70"/>
      <c r="O665" s="70"/>
      <c r="P665" s="55"/>
      <c r="Q665" s="70"/>
      <c r="R665" s="65"/>
      <c r="S665" s="65"/>
      <c r="T665" s="77"/>
      <c r="U665" s="57"/>
      <c r="V665" s="57"/>
      <c r="W665" s="57"/>
      <c r="X665" s="57"/>
      <c r="Y665" s="106">
        <v>6303.0382600000003</v>
      </c>
      <c r="Z665" s="46"/>
      <c r="AA665" s="81"/>
    </row>
    <row r="666" spans="1:27" ht="23.25" customHeight="1">
      <c r="A666" s="56"/>
      <c r="B666" s="57" t="s">
        <v>36</v>
      </c>
      <c r="C666" s="58">
        <v>908</v>
      </c>
      <c r="D666" s="83" t="s">
        <v>173</v>
      </c>
      <c r="E666" s="83" t="s">
        <v>193</v>
      </c>
      <c r="F666" s="58" t="s">
        <v>613</v>
      </c>
      <c r="G666" s="59">
        <v>200</v>
      </c>
      <c r="H666" s="55"/>
      <c r="I666" s="55"/>
      <c r="J666" s="73"/>
      <c r="K666" s="70"/>
      <c r="L666" s="70"/>
      <c r="M666" s="70"/>
      <c r="N666" s="70"/>
      <c r="O666" s="70"/>
      <c r="P666" s="55"/>
      <c r="Q666" s="70"/>
      <c r="R666" s="65"/>
      <c r="S666" s="65"/>
      <c r="T666" s="77"/>
      <c r="U666" s="57"/>
      <c r="V666" s="57"/>
      <c r="W666" s="57"/>
      <c r="X666" s="57"/>
      <c r="Y666" s="106">
        <f>1432.7749+530</f>
        <v>1962.7748999999999</v>
      </c>
      <c r="Z666" s="46"/>
      <c r="AA666" s="81"/>
    </row>
    <row r="667" spans="1:27">
      <c r="A667" s="56"/>
      <c r="B667" s="57" t="s">
        <v>38</v>
      </c>
      <c r="C667" s="58">
        <v>908</v>
      </c>
      <c r="D667" s="83" t="s">
        <v>173</v>
      </c>
      <c r="E667" s="83" t="s">
        <v>193</v>
      </c>
      <c r="F667" s="58" t="s">
        <v>613</v>
      </c>
      <c r="G667" s="59">
        <v>800</v>
      </c>
      <c r="H667" s="55"/>
      <c r="I667" s="55"/>
      <c r="J667" s="73"/>
      <c r="K667" s="70"/>
      <c r="L667" s="70"/>
      <c r="M667" s="70"/>
      <c r="N667" s="70"/>
      <c r="O667" s="70"/>
      <c r="P667" s="55"/>
      <c r="Q667" s="70"/>
      <c r="R667" s="65"/>
      <c r="S667" s="65"/>
      <c r="T667" s="77"/>
      <c r="U667" s="57"/>
      <c r="V667" s="57"/>
      <c r="W667" s="57"/>
      <c r="X667" s="57"/>
      <c r="Y667" s="106">
        <v>596.79999999999995</v>
      </c>
      <c r="Z667" s="46"/>
      <c r="AA667" s="81"/>
    </row>
    <row r="668" spans="1:27">
      <c r="A668" s="56"/>
      <c r="B668" s="57" t="s">
        <v>614</v>
      </c>
      <c r="C668" s="58">
        <v>908</v>
      </c>
      <c r="D668" s="83" t="s">
        <v>503</v>
      </c>
      <c r="E668" s="83"/>
      <c r="F668" s="58"/>
      <c r="G668" s="59"/>
      <c r="H668" s="55">
        <f t="shared" ref="H668:K671" si="471">H669</f>
        <v>2500</v>
      </c>
      <c r="I668" s="55">
        <f t="shared" si="471"/>
        <v>0</v>
      </c>
      <c r="J668" s="73">
        <f t="shared" si="471"/>
        <v>3026.7</v>
      </c>
      <c r="K668" s="55">
        <f t="shared" si="471"/>
        <v>0</v>
      </c>
      <c r="L668" s="55"/>
      <c r="M668" s="55"/>
      <c r="N668" s="55"/>
      <c r="O668" s="70" t="e">
        <f>O669</f>
        <v>#REF!</v>
      </c>
      <c r="P668" s="55" t="e">
        <f t="shared" ref="P668:Y668" si="472">P669</f>
        <v>#REF!</v>
      </c>
      <c r="Q668" s="70" t="e">
        <f t="shared" si="472"/>
        <v>#REF!</v>
      </c>
      <c r="R668" s="70" t="e">
        <f t="shared" si="472"/>
        <v>#REF!</v>
      </c>
      <c r="S668" s="70" t="e">
        <f t="shared" si="472"/>
        <v>#REF!</v>
      </c>
      <c r="T668" s="76">
        <f t="shared" si="472"/>
        <v>4500</v>
      </c>
      <c r="U668" s="55">
        <f t="shared" si="472"/>
        <v>0</v>
      </c>
      <c r="V668" s="55">
        <f t="shared" si="472"/>
        <v>0</v>
      </c>
      <c r="W668" s="55">
        <f t="shared" si="472"/>
        <v>0</v>
      </c>
      <c r="X668" s="55">
        <f t="shared" si="472"/>
        <v>0</v>
      </c>
      <c r="Y668" s="106">
        <f t="shared" si="472"/>
        <v>6300</v>
      </c>
      <c r="Z668" s="46"/>
      <c r="AA668" s="81"/>
    </row>
    <row r="669" spans="1:27" ht="18" customHeight="1">
      <c r="A669" s="56"/>
      <c r="B669" s="57" t="s">
        <v>615</v>
      </c>
      <c r="C669" s="58">
        <v>908</v>
      </c>
      <c r="D669" s="83" t="s">
        <v>503</v>
      </c>
      <c r="E669" s="83" t="s">
        <v>193</v>
      </c>
      <c r="F669" s="58"/>
      <c r="G669" s="59"/>
      <c r="H669" s="55">
        <f t="shared" si="471"/>
        <v>2500</v>
      </c>
      <c r="I669" s="55">
        <f t="shared" si="471"/>
        <v>0</v>
      </c>
      <c r="J669" s="73">
        <f t="shared" si="471"/>
        <v>3026.7</v>
      </c>
      <c r="K669" s="55">
        <f t="shared" si="471"/>
        <v>0</v>
      </c>
      <c r="L669" s="55"/>
      <c r="M669" s="55"/>
      <c r="N669" s="55"/>
      <c r="O669" s="70" t="e">
        <f>#REF!+O670</f>
        <v>#REF!</v>
      </c>
      <c r="P669" s="55" t="e">
        <f>#REF!+P670</f>
        <v>#REF!</v>
      </c>
      <c r="Q669" s="70" t="e">
        <f>#REF!+Q670</f>
        <v>#REF!</v>
      </c>
      <c r="R669" s="70" t="e">
        <f>#REF!+R670</f>
        <v>#REF!</v>
      </c>
      <c r="S669" s="70" t="e">
        <f>#REF!+S670</f>
        <v>#REF!</v>
      </c>
      <c r="T669" s="76">
        <f t="shared" ref="T669:Y669" si="473">T670</f>
        <v>4500</v>
      </c>
      <c r="U669" s="76">
        <f t="shared" si="473"/>
        <v>0</v>
      </c>
      <c r="V669" s="76">
        <f t="shared" si="473"/>
        <v>0</v>
      </c>
      <c r="W669" s="76">
        <f t="shared" si="473"/>
        <v>0</v>
      </c>
      <c r="X669" s="76">
        <f t="shared" si="473"/>
        <v>0</v>
      </c>
      <c r="Y669" s="106">
        <f t="shared" si="473"/>
        <v>6300</v>
      </c>
      <c r="Z669" s="46"/>
      <c r="AA669" s="81"/>
    </row>
    <row r="670" spans="1:27" ht="37.5">
      <c r="A670" s="56"/>
      <c r="B670" s="57" t="s">
        <v>441</v>
      </c>
      <c r="C670" s="58">
        <v>908</v>
      </c>
      <c r="D670" s="83" t="s">
        <v>503</v>
      </c>
      <c r="E670" s="83" t="s">
        <v>193</v>
      </c>
      <c r="F670" s="58" t="s">
        <v>42</v>
      </c>
      <c r="G670" s="59"/>
      <c r="H670" s="55">
        <f t="shared" si="471"/>
        <v>2500</v>
      </c>
      <c r="I670" s="55">
        <f t="shared" si="471"/>
        <v>0</v>
      </c>
      <c r="J670" s="73">
        <f t="shared" si="471"/>
        <v>3026.7</v>
      </c>
      <c r="K670" s="55">
        <f t="shared" si="471"/>
        <v>0</v>
      </c>
      <c r="L670" s="55"/>
      <c r="M670" s="55"/>
      <c r="N670" s="55"/>
      <c r="O670" s="70">
        <f t="shared" ref="O670:Y670" si="474">O671</f>
        <v>4300</v>
      </c>
      <c r="P670" s="55">
        <f t="shared" si="474"/>
        <v>0</v>
      </c>
      <c r="Q670" s="70">
        <f t="shared" si="474"/>
        <v>0</v>
      </c>
      <c r="R670" s="70">
        <f t="shared" si="474"/>
        <v>0</v>
      </c>
      <c r="S670" s="70">
        <f t="shared" si="474"/>
        <v>0</v>
      </c>
      <c r="T670" s="76">
        <f t="shared" si="474"/>
        <v>4500</v>
      </c>
      <c r="U670" s="55">
        <f t="shared" si="474"/>
        <v>0</v>
      </c>
      <c r="V670" s="55">
        <f t="shared" si="474"/>
        <v>0</v>
      </c>
      <c r="W670" s="55">
        <f t="shared" si="474"/>
        <v>0</v>
      </c>
      <c r="X670" s="55">
        <f t="shared" si="474"/>
        <v>0</v>
      </c>
      <c r="Y670" s="106">
        <f t="shared" si="474"/>
        <v>6300</v>
      </c>
      <c r="Z670" s="46"/>
      <c r="AA670" s="81"/>
    </row>
    <row r="671" spans="1:27" ht="20.25" customHeight="1">
      <c r="A671" s="56"/>
      <c r="B671" s="57" t="s">
        <v>616</v>
      </c>
      <c r="C671" s="58">
        <v>908</v>
      </c>
      <c r="D671" s="83" t="s">
        <v>503</v>
      </c>
      <c r="E671" s="83" t="s">
        <v>193</v>
      </c>
      <c r="F671" s="58" t="s">
        <v>617</v>
      </c>
      <c r="G671" s="59"/>
      <c r="H671" s="55">
        <f t="shared" si="471"/>
        <v>2500</v>
      </c>
      <c r="I671" s="55">
        <f t="shared" si="471"/>
        <v>0</v>
      </c>
      <c r="J671" s="73">
        <f t="shared" si="471"/>
        <v>3026.7</v>
      </c>
      <c r="K671" s="55">
        <f t="shared" si="471"/>
        <v>0</v>
      </c>
      <c r="L671" s="55"/>
      <c r="M671" s="55"/>
      <c r="N671" s="55"/>
      <c r="O671" s="70">
        <f t="shared" ref="O671:Y671" si="475">O672</f>
        <v>4300</v>
      </c>
      <c r="P671" s="55">
        <f t="shared" si="475"/>
        <v>0</v>
      </c>
      <c r="Q671" s="70">
        <f t="shared" si="475"/>
        <v>0</v>
      </c>
      <c r="R671" s="70">
        <f t="shared" si="475"/>
        <v>0</v>
      </c>
      <c r="S671" s="70">
        <f t="shared" si="475"/>
        <v>0</v>
      </c>
      <c r="T671" s="76">
        <f t="shared" si="475"/>
        <v>4500</v>
      </c>
      <c r="U671" s="55">
        <f t="shared" si="475"/>
        <v>0</v>
      </c>
      <c r="V671" s="55">
        <f t="shared" si="475"/>
        <v>0</v>
      </c>
      <c r="W671" s="55">
        <f t="shared" si="475"/>
        <v>0</v>
      </c>
      <c r="X671" s="55">
        <f t="shared" si="475"/>
        <v>0</v>
      </c>
      <c r="Y671" s="106">
        <f t="shared" si="475"/>
        <v>6300</v>
      </c>
      <c r="Z671" s="46"/>
      <c r="AA671" s="81"/>
    </row>
    <row r="672" spans="1:27">
      <c r="A672" s="56"/>
      <c r="B672" s="57" t="s">
        <v>38</v>
      </c>
      <c r="C672" s="58">
        <v>908</v>
      </c>
      <c r="D672" s="83" t="s">
        <v>503</v>
      </c>
      <c r="E672" s="83" t="s">
        <v>193</v>
      </c>
      <c r="F672" s="58" t="s">
        <v>617</v>
      </c>
      <c r="G672" s="59">
        <v>800</v>
      </c>
      <c r="H672" s="55">
        <v>2500</v>
      </c>
      <c r="I672" s="55"/>
      <c r="J672" s="73">
        <v>3026.7</v>
      </c>
      <c r="K672" s="70"/>
      <c r="L672" s="70"/>
      <c r="M672" s="70"/>
      <c r="N672" s="70"/>
      <c r="O672" s="70">
        <f>5190.7-890.7</f>
        <v>4300</v>
      </c>
      <c r="P672" s="55"/>
      <c r="Q672" s="73"/>
      <c r="R672" s="73"/>
      <c r="S672" s="73"/>
      <c r="T672" s="77">
        <v>4500</v>
      </c>
      <c r="U672" s="57"/>
      <c r="V672" s="57"/>
      <c r="W672" s="57"/>
      <c r="X672" s="57"/>
      <c r="Y672" s="106">
        <v>6300</v>
      </c>
      <c r="Z672" s="46"/>
      <c r="AA672" s="81"/>
    </row>
    <row r="673" spans="1:27">
      <c r="A673" s="56"/>
      <c r="B673" s="52" t="s">
        <v>618</v>
      </c>
      <c r="C673" s="53" t="s">
        <v>21</v>
      </c>
      <c r="D673" s="53" t="s">
        <v>21</v>
      </c>
      <c r="E673" s="53" t="s">
        <v>21</v>
      </c>
      <c r="F673" s="53" t="s">
        <v>21</v>
      </c>
      <c r="G673" s="54" t="s">
        <v>21</v>
      </c>
      <c r="H673" s="68" t="e">
        <f t="shared" ref="H673:Y673" si="476">H9+H24+H140+H184+H375+H389</f>
        <v>#REF!</v>
      </c>
      <c r="I673" s="68" t="e">
        <f t="shared" si="476"/>
        <v>#REF!</v>
      </c>
      <c r="J673" s="71" t="e">
        <f t="shared" si="476"/>
        <v>#REF!</v>
      </c>
      <c r="K673" s="71" t="e">
        <f t="shared" si="476"/>
        <v>#REF!</v>
      </c>
      <c r="L673" s="71">
        <f t="shared" si="476"/>
        <v>0</v>
      </c>
      <c r="M673" s="68">
        <f t="shared" si="476"/>
        <v>0</v>
      </c>
      <c r="N673" s="71">
        <f t="shared" si="476"/>
        <v>0</v>
      </c>
      <c r="O673" s="79" t="e">
        <f t="shared" si="476"/>
        <v>#REF!</v>
      </c>
      <c r="P673" s="79" t="e">
        <f t="shared" si="476"/>
        <v>#REF!</v>
      </c>
      <c r="Q673" s="79" t="e">
        <f t="shared" si="476"/>
        <v>#REF!</v>
      </c>
      <c r="R673" s="79" t="e">
        <f t="shared" si="476"/>
        <v>#REF!</v>
      </c>
      <c r="S673" s="79" t="e">
        <f t="shared" si="476"/>
        <v>#REF!</v>
      </c>
      <c r="T673" s="94" t="e">
        <f t="shared" si="476"/>
        <v>#REF!</v>
      </c>
      <c r="U673" s="95" t="e">
        <f t="shared" si="476"/>
        <v>#REF!</v>
      </c>
      <c r="V673" s="95" t="e">
        <f t="shared" si="476"/>
        <v>#REF!</v>
      </c>
      <c r="W673" s="95" t="e">
        <f t="shared" si="476"/>
        <v>#REF!</v>
      </c>
      <c r="X673" s="95" t="e">
        <f t="shared" si="476"/>
        <v>#REF!</v>
      </c>
      <c r="Y673" s="103">
        <f t="shared" si="476"/>
        <v>1097861.99651</v>
      </c>
      <c r="Z673" s="46"/>
      <c r="AA673" s="81"/>
    </row>
    <row r="674" spans="1:27" ht="0.75" customHeight="1"/>
    <row r="675" spans="1:27" ht="12" customHeight="1"/>
    <row r="676" spans="1:27" ht="22.5" customHeight="1">
      <c r="K676" s="90" t="e">
        <f>#REF!+K40+K69+K94+K206+K241+K290</f>
        <v>#REF!</v>
      </c>
      <c r="O676" s="45" t="s">
        <v>619</v>
      </c>
      <c r="P676" s="45">
        <v>130435</v>
      </c>
      <c r="Q676" s="93" t="e">
        <f>Q673+R673+P673</f>
        <v>#REF!</v>
      </c>
      <c r="U676" s="81"/>
      <c r="V676" s="81" t="e">
        <f>U673+V673+W673+X673</f>
        <v>#REF!</v>
      </c>
      <c r="X676" s="81" t="e">
        <f>X673+123581</f>
        <v>#REF!</v>
      </c>
    </row>
    <row r="677" spans="1:27" ht="67.5" customHeight="1">
      <c r="B677" s="45" t="s">
        <v>663</v>
      </c>
      <c r="F677" s="109" t="s">
        <v>620</v>
      </c>
      <c r="G677" s="108"/>
      <c r="H677" s="45" t="s">
        <v>621</v>
      </c>
      <c r="I677" s="45">
        <v>601.29999999999995</v>
      </c>
      <c r="L677" s="91" t="e">
        <f>K673+L673+N673</f>
        <v>#REF!</v>
      </c>
      <c r="O677" s="92"/>
      <c r="P677" s="93" t="e">
        <f>P673+P676</f>
        <v>#REF!</v>
      </c>
      <c r="Q677" s="93"/>
      <c r="T677" s="96" t="s">
        <v>622</v>
      </c>
    </row>
    <row r="678" spans="1:27">
      <c r="C678" s="89"/>
      <c r="H678" s="45" t="s">
        <v>623</v>
      </c>
      <c r="I678" s="45">
        <v>251766.5</v>
      </c>
      <c r="O678" s="45">
        <v>7790</v>
      </c>
      <c r="P678" s="93"/>
      <c r="Q678" s="93"/>
      <c r="R678" s="97" t="e">
        <f>P673+Q673+R673+S673</f>
        <v>#REF!</v>
      </c>
    </row>
    <row r="679" spans="1:27">
      <c r="H679" s="45" t="s">
        <v>624</v>
      </c>
      <c r="I679" s="45">
        <v>87147.8</v>
      </c>
      <c r="O679" s="93" t="e">
        <f>O673+O678</f>
        <v>#REF!</v>
      </c>
      <c r="P679" s="90"/>
    </row>
    <row r="680" spans="1:27" ht="37.5">
      <c r="H680" s="45" t="s">
        <v>625</v>
      </c>
      <c r="I680" s="45">
        <v>965.7</v>
      </c>
      <c r="P680" s="90"/>
    </row>
    <row r="681" spans="1:27">
      <c r="H681" s="45" t="s">
        <v>619</v>
      </c>
      <c r="I681" s="45">
        <v>4795.6000000000004</v>
      </c>
      <c r="P681" s="90"/>
    </row>
    <row r="682" spans="1:27">
      <c r="I682" s="45">
        <f>SUM(I677:I681)</f>
        <v>345276.89999999997</v>
      </c>
    </row>
  </sheetData>
  <autoFilter ref="C8:O673"/>
  <sortState ref="A9:T170">
    <sortCondition ref="P8"/>
  </sortState>
  <mergeCells count="6">
    <mergeCell ref="B6:G6"/>
    <mergeCell ref="F677:G677"/>
    <mergeCell ref="D1:Y2"/>
    <mergeCell ref="D3:Y4"/>
    <mergeCell ref="A5:Y5"/>
    <mergeCell ref="A7:Y7"/>
  </mergeCells>
  <pageMargins left="0.98425196850393704" right="0.59055118110236227" top="0.78740157480314965" bottom="0.78740157480314965" header="0.51181102362204722" footer="0.51181102362204722"/>
  <pageSetup paperSize="9" scale="41" fitToHeight="11" orientation="portrait" useFirstPageNumber="1" r:id="rId1"/>
  <headerFooter>
    <oddHeader>&amp;CСтраница &amp;P</oddHeader>
  </headerFooter>
  <rowBreaks count="1" manualBreakCount="1">
    <brk id="62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4"/>
  <sheetViews>
    <sheetView workbookViewId="0">
      <selection activeCell="G1" sqref="G1:H1048576"/>
    </sheetView>
  </sheetViews>
  <sheetFormatPr defaultColWidth="9" defaultRowHeight="18.75"/>
  <cols>
    <col min="2" max="2" width="11.6640625" style="1" customWidth="1"/>
    <col min="3" max="3" width="21" style="2" customWidth="1"/>
    <col min="4" max="4" width="21.5" style="2" customWidth="1"/>
    <col min="5" max="5" width="12" style="3" customWidth="1"/>
    <col min="6" max="6" width="18" customWidth="1"/>
    <col min="9" max="9" width="14.6640625" style="1" customWidth="1"/>
    <col min="10" max="10" width="15.6640625" style="1" customWidth="1"/>
    <col min="11" max="11" width="19.33203125" style="1" customWidth="1"/>
    <col min="12" max="12" width="18.6640625" style="1" customWidth="1"/>
    <col min="13" max="13" width="18.83203125" style="1" customWidth="1"/>
    <col min="14" max="14" width="23.1640625" style="1" customWidth="1"/>
    <col min="15" max="15" width="21.5" customWidth="1"/>
  </cols>
  <sheetData>
    <row r="2" spans="1:16">
      <c r="B2" s="4" t="s">
        <v>626</v>
      </c>
      <c r="C2" s="5" t="s">
        <v>627</v>
      </c>
      <c r="D2" s="6" t="s">
        <v>628</v>
      </c>
      <c r="E2" s="7" t="s">
        <v>626</v>
      </c>
      <c r="F2" s="8" t="s">
        <v>629</v>
      </c>
      <c r="I2" s="28" t="s">
        <v>630</v>
      </c>
      <c r="J2" s="29" t="s">
        <v>631</v>
      </c>
      <c r="K2" s="29" t="s">
        <v>632</v>
      </c>
      <c r="L2" s="29" t="s">
        <v>633</v>
      </c>
      <c r="M2" s="29" t="s">
        <v>634</v>
      </c>
      <c r="N2" s="29" t="s">
        <v>635</v>
      </c>
      <c r="O2" s="30"/>
      <c r="P2" s="31"/>
    </row>
    <row r="3" spans="1:16">
      <c r="B3" s="9" t="s">
        <v>636</v>
      </c>
      <c r="C3" s="10">
        <v>-1535.98659</v>
      </c>
      <c r="D3" s="11">
        <v>1002.025</v>
      </c>
      <c r="E3" s="12" t="s">
        <v>637</v>
      </c>
      <c r="F3" s="13"/>
      <c r="I3" s="32">
        <v>12710</v>
      </c>
      <c r="J3" s="32">
        <v>116500</v>
      </c>
      <c r="K3" s="32">
        <v>166000</v>
      </c>
      <c r="L3" s="32">
        <v>80000</v>
      </c>
      <c r="M3" s="32">
        <v>1010855.6</v>
      </c>
      <c r="N3" s="32">
        <v>500000</v>
      </c>
      <c r="O3" s="33"/>
      <c r="P3" s="33"/>
    </row>
    <row r="4" spans="1:16">
      <c r="B4" s="9" t="s">
        <v>636</v>
      </c>
      <c r="C4" s="14">
        <v>-4112.05</v>
      </c>
      <c r="D4" s="15">
        <v>5000</v>
      </c>
      <c r="E4" s="12" t="s">
        <v>638</v>
      </c>
      <c r="F4" s="13"/>
      <c r="I4" s="34"/>
      <c r="J4" s="34"/>
      <c r="K4" s="34">
        <v>1265500</v>
      </c>
      <c r="L4" s="34">
        <v>1339100</v>
      </c>
      <c r="M4" s="34">
        <v>0</v>
      </c>
      <c r="N4" s="34">
        <v>151000</v>
      </c>
      <c r="O4" s="35"/>
      <c r="P4" s="35"/>
    </row>
    <row r="5" spans="1:16">
      <c r="B5" s="9" t="s">
        <v>639</v>
      </c>
      <c r="C5" s="10">
        <v>-469.34100000000001</v>
      </c>
      <c r="D5" s="11">
        <v>190.32375999999999</v>
      </c>
      <c r="E5" s="12" t="s">
        <v>640</v>
      </c>
      <c r="F5" s="13"/>
      <c r="I5" s="34"/>
      <c r="J5" s="34"/>
      <c r="K5" s="34">
        <v>5000000</v>
      </c>
      <c r="L5" s="34">
        <v>549200</v>
      </c>
      <c r="M5" s="34"/>
      <c r="N5" s="34">
        <v>514500</v>
      </c>
      <c r="O5" s="35"/>
      <c r="P5" s="35"/>
    </row>
    <row r="6" spans="1:16">
      <c r="B6" s="9" t="s">
        <v>640</v>
      </c>
      <c r="C6" s="14">
        <v>-350</v>
      </c>
      <c r="D6" s="15">
        <v>12.71</v>
      </c>
      <c r="E6" s="12" t="s">
        <v>641</v>
      </c>
      <c r="F6" s="13"/>
      <c r="I6" s="34"/>
      <c r="J6" s="34"/>
      <c r="K6" s="34">
        <v>-1226200</v>
      </c>
      <c r="L6" s="34"/>
      <c r="M6" s="34"/>
      <c r="N6" s="34">
        <v>155379</v>
      </c>
      <c r="O6" s="35"/>
      <c r="P6" s="35"/>
    </row>
    <row r="7" spans="1:16">
      <c r="B7" s="9" t="s">
        <v>642</v>
      </c>
      <c r="C7" s="14">
        <v>-479</v>
      </c>
      <c r="D7" s="11">
        <v>1010.8556</v>
      </c>
      <c r="E7" s="12" t="s">
        <v>643</v>
      </c>
      <c r="F7" s="13"/>
      <c r="I7" s="34"/>
      <c r="J7" s="34"/>
      <c r="K7" s="34">
        <v>-129852.6</v>
      </c>
      <c r="L7" s="34"/>
      <c r="M7" s="34"/>
      <c r="N7" s="34">
        <v>-308644</v>
      </c>
      <c r="O7" s="35"/>
      <c r="P7" s="35"/>
    </row>
    <row r="8" spans="1:16">
      <c r="B8" s="9" t="s">
        <v>640</v>
      </c>
      <c r="C8" s="14">
        <v>-1226.2</v>
      </c>
      <c r="D8" s="15">
        <v>312.05</v>
      </c>
      <c r="E8" s="12" t="s">
        <v>644</v>
      </c>
      <c r="F8" s="13"/>
      <c r="I8" s="34"/>
      <c r="J8" s="34"/>
      <c r="K8" s="34"/>
      <c r="L8" s="34"/>
      <c r="M8" s="34"/>
      <c r="N8" s="34">
        <v>7500</v>
      </c>
      <c r="O8" s="35"/>
      <c r="P8" s="35"/>
    </row>
    <row r="9" spans="1:16">
      <c r="B9" s="16"/>
      <c r="C9" s="10"/>
      <c r="D9" s="11"/>
      <c r="E9" s="7"/>
      <c r="F9" s="13"/>
      <c r="I9" s="34"/>
      <c r="J9" s="34"/>
      <c r="K9" s="34"/>
      <c r="L9" s="34"/>
      <c r="M9" s="34"/>
      <c r="N9" s="34">
        <v>2265</v>
      </c>
      <c r="O9" s="35"/>
      <c r="P9" s="35"/>
    </row>
    <row r="10" spans="1:16">
      <c r="B10" s="16"/>
      <c r="C10" s="10"/>
      <c r="D10" s="11"/>
      <c r="E10" s="7"/>
      <c r="F10" s="13"/>
      <c r="I10" s="34"/>
      <c r="J10" s="34"/>
      <c r="K10" s="34"/>
      <c r="L10" s="34"/>
      <c r="M10" s="34"/>
      <c r="N10" s="36">
        <v>-1535986.59</v>
      </c>
      <c r="O10" s="35"/>
      <c r="P10" s="35"/>
    </row>
    <row r="11" spans="1:16">
      <c r="B11" s="16"/>
      <c r="C11" s="10"/>
      <c r="D11" s="11"/>
      <c r="E11" s="7"/>
      <c r="F11" s="13"/>
      <c r="I11" s="34"/>
      <c r="J11" s="34"/>
      <c r="K11" s="34"/>
      <c r="L11" s="34"/>
      <c r="M11" s="34"/>
      <c r="N11" s="34">
        <v>-4112050</v>
      </c>
      <c r="O11" s="35"/>
      <c r="P11" s="35"/>
    </row>
    <row r="12" spans="1:16">
      <c r="B12" s="16"/>
      <c r="C12" s="10"/>
      <c r="D12" s="11"/>
      <c r="E12" s="7"/>
      <c r="F12" s="13"/>
      <c r="I12" s="34"/>
      <c r="J12" s="34"/>
      <c r="K12" s="34"/>
      <c r="L12" s="34"/>
      <c r="M12" s="34"/>
      <c r="N12" s="34">
        <v>-469341</v>
      </c>
      <c r="O12" s="35"/>
      <c r="P12" s="35"/>
    </row>
    <row r="13" spans="1:16">
      <c r="B13" s="17"/>
      <c r="C13" s="18"/>
      <c r="D13" s="19"/>
      <c r="E13" s="20"/>
      <c r="F13" s="21"/>
      <c r="I13" s="34"/>
      <c r="J13" s="34"/>
      <c r="K13" s="34"/>
      <c r="L13" s="34"/>
      <c r="M13" s="34"/>
      <c r="N13" s="34">
        <v>-350000</v>
      </c>
      <c r="O13" s="35"/>
      <c r="P13" s="35"/>
    </row>
    <row r="14" spans="1:16">
      <c r="A14" s="115" t="s">
        <v>645</v>
      </c>
      <c r="B14" s="116"/>
      <c r="C14" s="22">
        <f>SUM(C3:C13)</f>
        <v>-8172.5775899999999</v>
      </c>
      <c r="D14" s="23">
        <f>SUM(D3:D13)</f>
        <v>7527.9643599999999</v>
      </c>
      <c r="E14" s="24"/>
      <c r="F14" s="25">
        <f>C14+D14</f>
        <v>-644.61322999999993</v>
      </c>
      <c r="I14" s="34"/>
      <c r="J14" s="34"/>
      <c r="K14" s="34"/>
      <c r="L14" s="34"/>
      <c r="M14" s="34"/>
      <c r="N14" s="34">
        <v>-479000</v>
      </c>
      <c r="O14" s="35"/>
      <c r="P14" s="35"/>
    </row>
    <row r="15" spans="1:16">
      <c r="C15" s="26"/>
      <c r="D15" s="26"/>
      <c r="E15" s="27"/>
      <c r="I15" s="34"/>
      <c r="J15" s="34"/>
      <c r="K15" s="34"/>
      <c r="L15" s="34"/>
      <c r="M15" s="34"/>
      <c r="N15" s="34">
        <v>312050</v>
      </c>
      <c r="O15" s="35"/>
      <c r="P15" s="35"/>
    </row>
    <row r="16" spans="1:16">
      <c r="C16" s="26"/>
      <c r="D16" s="26"/>
      <c r="E16" s="27"/>
      <c r="I16" s="34"/>
      <c r="J16" s="34"/>
      <c r="K16" s="34"/>
      <c r="L16" s="34"/>
      <c r="M16" s="34"/>
      <c r="N16" s="36">
        <v>190323.76</v>
      </c>
      <c r="O16" s="35"/>
      <c r="P16" s="35"/>
    </row>
    <row r="17" spans="3:16">
      <c r="C17" s="26"/>
      <c r="D17" s="26"/>
      <c r="E17" s="27"/>
      <c r="I17" s="34"/>
      <c r="J17" s="34"/>
      <c r="K17" s="34"/>
      <c r="L17" s="34"/>
      <c r="M17" s="34"/>
      <c r="N17" s="34">
        <v>54000</v>
      </c>
      <c r="O17" s="35"/>
      <c r="P17" s="35"/>
    </row>
    <row r="18" spans="3:16">
      <c r="C18" s="26"/>
      <c r="D18" s="26"/>
      <c r="E18" s="27"/>
      <c r="I18" s="34"/>
      <c r="J18" s="34"/>
      <c r="K18" s="34"/>
      <c r="L18" s="34"/>
      <c r="M18" s="34"/>
      <c r="N18" s="36">
        <v>-296300.56</v>
      </c>
      <c r="O18" s="35"/>
      <c r="P18" s="35"/>
    </row>
    <row r="19" spans="3:16">
      <c r="C19" s="26"/>
      <c r="D19" s="26"/>
      <c r="E19" s="27"/>
      <c r="I19" s="34"/>
      <c r="J19" s="34"/>
      <c r="K19" s="34"/>
      <c r="L19" s="34"/>
      <c r="M19" s="34"/>
      <c r="N19" s="34">
        <v>-50000</v>
      </c>
      <c r="O19" s="35"/>
      <c r="P19" s="35"/>
    </row>
    <row r="20" spans="3:16">
      <c r="C20" s="26"/>
      <c r="D20" s="26"/>
      <c r="E20" s="27"/>
      <c r="I20" s="34"/>
      <c r="J20" s="34"/>
      <c r="K20" s="34"/>
      <c r="L20" s="34"/>
      <c r="M20" s="34"/>
      <c r="N20" s="36">
        <v>1149300.56</v>
      </c>
      <c r="O20" s="35"/>
      <c r="P20" s="35"/>
    </row>
    <row r="21" spans="3:16">
      <c r="C21" s="26"/>
      <c r="D21" s="26"/>
      <c r="E21" s="27"/>
      <c r="I21" s="34"/>
      <c r="J21" s="34"/>
      <c r="K21" s="34"/>
      <c r="L21" s="34"/>
      <c r="M21" s="34"/>
      <c r="N21" s="34">
        <v>2999408.4</v>
      </c>
      <c r="O21" s="35"/>
      <c r="P21" s="35"/>
    </row>
    <row r="22" spans="3:16">
      <c r="C22" s="26"/>
      <c r="D22" s="26"/>
      <c r="E22" s="27"/>
      <c r="I22" s="34"/>
      <c r="J22" s="34"/>
      <c r="K22" s="34"/>
      <c r="L22" s="34"/>
      <c r="M22" s="34"/>
      <c r="N22" s="34">
        <v>9471604.5</v>
      </c>
      <c r="O22" s="35"/>
      <c r="P22" s="35"/>
    </row>
    <row r="23" spans="3:16">
      <c r="C23" s="26"/>
      <c r="D23" s="26"/>
      <c r="E23" s="27"/>
      <c r="I23" s="34"/>
      <c r="J23" s="34"/>
      <c r="K23" s="34"/>
      <c r="L23" s="34"/>
      <c r="M23" s="34"/>
      <c r="N23" s="34">
        <v>2999408.4</v>
      </c>
      <c r="O23" s="35"/>
      <c r="P23" s="35"/>
    </row>
    <row r="24" spans="3:16">
      <c r="C24" s="26"/>
      <c r="D24" s="26"/>
      <c r="E24" s="27"/>
      <c r="I24" s="34"/>
      <c r="J24" s="34"/>
      <c r="K24" s="34"/>
      <c r="L24" s="34"/>
      <c r="M24" s="34"/>
      <c r="N24" s="34">
        <v>324000</v>
      </c>
      <c r="O24" s="35"/>
      <c r="P24" s="35"/>
    </row>
    <row r="25" spans="3:16">
      <c r="C25" s="26"/>
      <c r="D25" s="26"/>
      <c r="E25" s="27"/>
      <c r="I25" s="34"/>
      <c r="J25" s="34"/>
      <c r="K25" s="34"/>
      <c r="L25" s="34"/>
      <c r="M25" s="34"/>
      <c r="N25" s="34">
        <v>1002025</v>
      </c>
      <c r="O25" s="35"/>
      <c r="P25" s="35"/>
    </row>
    <row r="26" spans="3:16">
      <c r="C26" s="26"/>
      <c r="D26" s="26"/>
      <c r="E26" s="27"/>
      <c r="I26" s="34"/>
      <c r="J26" s="34"/>
      <c r="K26" s="34"/>
      <c r="L26" s="34"/>
      <c r="M26" s="34"/>
      <c r="N26" s="34">
        <v>1200000</v>
      </c>
      <c r="O26" s="35"/>
      <c r="P26" s="35"/>
    </row>
    <row r="27" spans="3:16">
      <c r="C27" s="26"/>
      <c r="D27" s="26"/>
      <c r="E27" s="27"/>
      <c r="I27" s="34"/>
      <c r="J27" s="34"/>
      <c r="K27" s="34"/>
      <c r="L27" s="34"/>
      <c r="M27" s="34"/>
      <c r="N27" s="34">
        <v>129852.6</v>
      </c>
      <c r="O27" s="35"/>
      <c r="P27" s="35"/>
    </row>
    <row r="28" spans="3:16">
      <c r="C28" s="26"/>
      <c r="D28" s="26"/>
      <c r="E28" s="27"/>
      <c r="I28" s="34"/>
      <c r="J28" s="34"/>
      <c r="K28" s="34"/>
      <c r="L28" s="34"/>
      <c r="M28" s="34"/>
      <c r="N28" s="34"/>
      <c r="O28" s="35"/>
      <c r="P28" s="35"/>
    </row>
    <row r="29" spans="3:16">
      <c r="C29" s="26"/>
      <c r="D29" s="26"/>
      <c r="E29" s="27"/>
      <c r="I29" s="34"/>
      <c r="J29" s="34"/>
      <c r="K29" s="34"/>
      <c r="L29" s="34"/>
      <c r="M29" s="34"/>
      <c r="N29" s="34"/>
      <c r="O29" s="35"/>
      <c r="P29" s="35"/>
    </row>
    <row r="30" spans="3:16">
      <c r="C30" s="26"/>
      <c r="D30" s="26"/>
      <c r="E30" s="27"/>
      <c r="I30" s="37"/>
      <c r="J30" s="37"/>
      <c r="K30" s="37"/>
      <c r="L30" s="37"/>
      <c r="M30" s="37"/>
      <c r="N30" s="37"/>
      <c r="O30" s="38"/>
      <c r="P30" s="38"/>
    </row>
    <row r="31" spans="3:16">
      <c r="C31" s="26"/>
      <c r="D31" s="26"/>
      <c r="E31" s="27"/>
      <c r="I31" s="39"/>
      <c r="J31" s="39"/>
      <c r="K31" s="39"/>
      <c r="L31" s="39"/>
      <c r="M31" s="39"/>
      <c r="N31" s="39"/>
      <c r="O31" s="40"/>
      <c r="P31" s="40"/>
    </row>
    <row r="32" spans="3:16" ht="37.5">
      <c r="C32" s="26"/>
      <c r="D32" s="26"/>
      <c r="E32" s="27"/>
      <c r="I32" s="41">
        <f t="shared" ref="I32:N32" si="0">SUM(I3:I31)</f>
        <v>12710</v>
      </c>
      <c r="J32" s="41">
        <f t="shared" si="0"/>
        <v>116500</v>
      </c>
      <c r="K32" s="41">
        <f t="shared" si="0"/>
        <v>5075447.4000000004</v>
      </c>
      <c r="L32" s="41">
        <f t="shared" si="0"/>
        <v>1968300</v>
      </c>
      <c r="M32" s="41">
        <f t="shared" si="0"/>
        <v>1010855.6</v>
      </c>
      <c r="N32" s="41">
        <f t="shared" si="0"/>
        <v>13561295.07</v>
      </c>
      <c r="O32" s="42">
        <f>I32+J32+K32+L32+M32+N32</f>
        <v>21745108.07</v>
      </c>
      <c r="P32" s="43" t="s">
        <v>646</v>
      </c>
    </row>
    <row r="33" spans="3:5">
      <c r="C33" s="26"/>
      <c r="D33" s="26"/>
      <c r="E33" s="27"/>
    </row>
    <row r="34" spans="3:5">
      <c r="C34" s="26"/>
      <c r="D34" s="26"/>
      <c r="E34" s="27"/>
    </row>
  </sheetData>
  <mergeCells count="1">
    <mergeCell ref="A14:B14"/>
  </mergeCells>
  <pageMargins left="0.7" right="0.7" top="0.75" bottom="0.75" header="0.3" footer="0.3"/>
  <pageSetup paperSize="9" scale="38" fitToHeight="0" orientation="portrait"/>
  <colBreaks count="1" manualBreakCount="1">
    <brk id="6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2024-12-25T09:28:03Z</cp:lastPrinted>
  <dcterms:created xsi:type="dcterms:W3CDTF">2006-09-16T00:00:00Z</dcterms:created>
  <dcterms:modified xsi:type="dcterms:W3CDTF">2024-12-25T09:28:05Z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93D777972BC74960AD31A2ECBD1D5BEF</vt:lpwstr>
  </property>
  <property fmtid="{D5CDD505-2E9C-101B-9397-08002B2CF9AE}" pid="3" name="KSOProductBuildVer">
    <vt:lpwstr>1049-12.2.0.13489</vt:lpwstr>
  </property>
</Properties>
</file>